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соз 13\ЗАКУПКИ\ЗАКУПКИ 2023\40-2023Проведение ремонтных работ\"/>
    </mc:Choice>
  </mc:AlternateContent>
  <bookViews>
    <workbookView xWindow="0" yWindow="0" windowWidth="17520" windowHeight="74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05" i="1" l="1"/>
  <c r="B106" i="1" s="1"/>
  <c r="B107" i="1" s="1"/>
  <c r="B104" i="1"/>
  <c r="B90" i="1"/>
  <c r="B91" i="1" s="1"/>
  <c r="B92" i="1" s="1"/>
  <c r="B93" i="1" s="1"/>
  <c r="B94" i="1" s="1"/>
  <c r="B95" i="1" s="1"/>
  <c r="B96" i="1" s="1"/>
  <c r="B97" i="1" s="1"/>
  <c r="B89" i="1"/>
  <c r="B88" i="1"/>
  <c r="B84" i="1"/>
  <c r="B85" i="1" s="1"/>
  <c r="B80" i="1"/>
  <c r="B81" i="1" s="1"/>
  <c r="E12" i="1"/>
  <c r="E11" i="1"/>
  <c r="E61" i="1" l="1"/>
  <c r="E59" i="1"/>
  <c r="L60" i="1"/>
  <c r="E58" i="1"/>
  <c r="E56" i="1"/>
  <c r="L56" i="1" s="1"/>
  <c r="L57" i="1" s="1"/>
  <c r="E55" i="1"/>
  <c r="E54" i="1"/>
  <c r="L53" i="1"/>
  <c r="E50" i="1"/>
  <c r="E48" i="1"/>
  <c r="E45" i="1"/>
  <c r="E49" i="1" l="1"/>
  <c r="E47" i="1"/>
  <c r="E38" i="1"/>
  <c r="E37" i="1"/>
  <c r="E36" i="1"/>
  <c r="E35" i="1"/>
  <c r="E28" i="1"/>
  <c r="E21" i="1"/>
  <c r="E22" i="1"/>
  <c r="L14" i="1"/>
  <c r="E13" i="1"/>
  <c r="L13" i="1" s="1"/>
  <c r="E6" i="1"/>
  <c r="E5" i="1"/>
  <c r="L34" i="1" l="1"/>
  <c r="L31" i="1"/>
  <c r="L19" i="1" l="1"/>
  <c r="L16" i="1"/>
  <c r="E43" i="1" l="1"/>
  <c r="L43" i="1" s="1"/>
  <c r="E42" i="1"/>
  <c r="E41" i="1"/>
  <c r="L41" i="1" s="1"/>
  <c r="E40" i="1"/>
  <c r="L40" i="1" s="1"/>
  <c r="E39" i="1"/>
  <c r="L39" i="1" s="1"/>
  <c r="B6" i="1" l="1"/>
  <c r="B7" i="1" s="1"/>
  <c r="B8" i="1" s="1"/>
  <c r="E62" i="1"/>
  <c r="E65" i="1"/>
  <c r="E64" i="1"/>
  <c r="E52" i="1"/>
  <c r="L52" i="1" s="1"/>
  <c r="L50" i="1"/>
  <c r="L49" i="1"/>
  <c r="L48" i="1"/>
  <c r="L38" i="1"/>
  <c r="L36" i="1"/>
  <c r="L35" i="1"/>
  <c r="L32" i="1" l="1"/>
  <c r="L28" i="1"/>
  <c r="B9" i="1"/>
  <c r="B10" i="1" s="1"/>
  <c r="E7" i="1"/>
  <c r="G7" i="1" s="1"/>
  <c r="B23" i="1" l="1"/>
  <c r="B24" i="1" s="1"/>
  <c r="B25" i="1" s="1"/>
  <c r="B26" i="1" s="1"/>
  <c r="B11" i="1"/>
  <c r="B12" i="1" s="1"/>
  <c r="B13" i="1" s="1"/>
  <c r="L20" i="1"/>
  <c r="L17" i="1"/>
  <c r="L23" i="1"/>
  <c r="L22" i="1"/>
  <c r="E23" i="1"/>
  <c r="E24" i="1" s="1"/>
  <c r="B27" i="1" l="1"/>
  <c r="B28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E25" i="1"/>
  <c r="L24" i="1"/>
  <c r="G5" i="1"/>
  <c r="G6" i="1"/>
  <c r="G74" i="1"/>
  <c r="B48" i="1" l="1"/>
  <c r="B49" i="1" s="1"/>
  <c r="B50" i="1" s="1"/>
  <c r="B51" i="1" s="1"/>
  <c r="B52" i="1" s="1"/>
  <c r="B53" i="1" s="1"/>
  <c r="B54" i="1" s="1"/>
  <c r="B55" i="1" s="1"/>
  <c r="B56" i="1" s="1"/>
  <c r="B59" i="1" s="1"/>
  <c r="E26" i="1"/>
  <c r="L26" i="1" s="1"/>
  <c r="G122" i="1"/>
  <c r="G124" i="1" s="1"/>
  <c r="N122" i="1"/>
  <c r="B61" i="1" l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2" i="1" s="1"/>
  <c r="B83" i="1" s="1"/>
  <c r="B98" i="1" s="1"/>
  <c r="B99" i="1" s="1"/>
  <c r="B100" i="1" s="1"/>
  <c r="O122" i="1"/>
  <c r="O124" i="1" s="1"/>
  <c r="N124" i="1"/>
</calcChain>
</file>

<file path=xl/sharedStrings.xml><?xml version="1.0" encoding="utf-8"?>
<sst xmlns="http://schemas.openxmlformats.org/spreadsheetml/2006/main" count="521" uniqueCount="301">
  <si>
    <t>Ед.изм.</t>
  </si>
  <si>
    <t>Кол-во</t>
  </si>
  <si>
    <t>Цена</t>
  </si>
  <si>
    <t>Наименование работ</t>
  </si>
  <si>
    <t>Сумма (работы)</t>
  </si>
  <si>
    <t>Наименование материала</t>
  </si>
  <si>
    <t>Сумма (материалы)</t>
  </si>
  <si>
    <t>Всего</t>
  </si>
  <si>
    <t>ИТОГО</t>
  </si>
  <si>
    <t>№</t>
  </si>
  <si>
    <t>м2</t>
  </si>
  <si>
    <t>шт</t>
  </si>
  <si>
    <t>м3</t>
  </si>
  <si>
    <t>Демонтаж перегородок из кирпича</t>
  </si>
  <si>
    <t xml:space="preserve">Монтаж перегородок из ГКЛ  на каркасе из оцинкованных металлических профилей, со звукоизоляцией </t>
  </si>
  <si>
    <t xml:space="preserve">Оштукатуривание стен по маякам </t>
  </si>
  <si>
    <t>Грунтовка стен 3 слоя</t>
  </si>
  <si>
    <t xml:space="preserve">Шпатлёвка стен под высококачественную покраску 3слоя </t>
  </si>
  <si>
    <t>Шлифовка стен перед покраской</t>
  </si>
  <si>
    <t>Покраска стен в.э краской 2 раза</t>
  </si>
  <si>
    <t>Монтаж  деревянной одностворчатой двери (размер проёма 0,8х2,1м)</t>
  </si>
  <si>
    <t>м.п.</t>
  </si>
  <si>
    <t>Монтаж ревизионного люка 300*400 мм</t>
  </si>
  <si>
    <t>Монтаж потолка типа амстронг</t>
  </si>
  <si>
    <t>Зачистка потолка</t>
  </si>
  <si>
    <t>Грунтование потолка 2 слоя</t>
  </si>
  <si>
    <t>Монтаж ограждающих конструкций стен: из многослойных панелей заводской готовности</t>
  </si>
  <si>
    <t>Устройство потолков: плитно-ячеистых по каркасу из оцинкованного профиля</t>
  </si>
  <si>
    <t>Установка металлических дверных блоков в готовые проемы</t>
  </si>
  <si>
    <t>Дверь для чистых помещений двухстворчатая, доводчики, ручки, скрытые порожек, цвет RAL 9002 Размер 2100*1600 c остеклением</t>
  </si>
  <si>
    <t>Монтаж оконных блоков: из алюминиевых многокамерных профилей с герметичными стеклопакетами</t>
  </si>
  <si>
    <t>Окно глухое, алюминевый профиль толщина 60 мм, одинарный стеклопакет (наружный размер 3300*1000, наружный размер 3800*1000, наружный размер 500*1000, наружный размер 1100*1000)</t>
  </si>
  <si>
    <t>Потолок модульный с растром 1200*600, несуший герметичный</t>
  </si>
  <si>
    <t>Монтаж кондиционера</t>
  </si>
  <si>
    <t>Инверторный кондиционер мощностью 12000 BTU</t>
  </si>
  <si>
    <t>Монтаж вент установки</t>
  </si>
  <si>
    <t>Установка агрегатов вентиляторных производительностью до 10 тыс.м3/час</t>
  </si>
  <si>
    <t xml:space="preserve">Фильтровентиляционный модуль с теплообменником, фильтром Н13 и вентилятором. Модель ФВМ5-1206-ЕСЦ-HG4T-1-1-2-M0-A3 </t>
  </si>
  <si>
    <t xml:space="preserve">Шпатлёвка стен под высококачественную покраску 3 слоя </t>
  </si>
  <si>
    <t>Укладка керамической плитки на стену</t>
  </si>
  <si>
    <t>Монтаж раковины</t>
  </si>
  <si>
    <t>Подключение умывалька в комплексе (вода, канализация, смеситель)</t>
  </si>
  <si>
    <t>Раковина</t>
  </si>
  <si>
    <t>Смеситель</t>
  </si>
  <si>
    <t>Плитка керамическая, плиточный клей из расчета плитки</t>
  </si>
  <si>
    <t xml:space="preserve">Монтаж плинтуса ПВХ с фурнитурой </t>
  </si>
  <si>
    <t>Вывоз строительного мусора</t>
  </si>
  <si>
    <t>Погрузка строительного мусора в контейнер</t>
  </si>
  <si>
    <t>Затаривание строительного мусора в мешки</t>
  </si>
  <si>
    <t>т</t>
  </si>
  <si>
    <t>Доставка материалов на объект</t>
  </si>
  <si>
    <t>рейс</t>
  </si>
  <si>
    <t xml:space="preserve">Устройство коробов ГКЛ на каркасе из оцинкованных металлических профилей в один слой </t>
  </si>
  <si>
    <t>Монтаж потолочных светильников 600*600</t>
  </si>
  <si>
    <t>ГКЛ Гипсокортон лист КНАУФ 3000*1200*12,5</t>
  </si>
  <si>
    <t>Профиль наравляющий 100х40х3000 толщина 0,6 мм</t>
  </si>
  <si>
    <t>Профиль стоечный 100*50*3000 толщина 0,6 мм</t>
  </si>
  <si>
    <t>Шуруп саморез металл-металл 4,2х19 мм цинк</t>
  </si>
  <si>
    <t>Саморез по гипсокартону 3,5*35 мм</t>
  </si>
  <si>
    <t>Дюбель универсальный 6/65</t>
  </si>
  <si>
    <t>Шуруп саморез гипс-дерево 3,9*65 мм</t>
  </si>
  <si>
    <t>Каменная вата Технониколь Техноакустик 1200*600*100</t>
  </si>
  <si>
    <t>11.1</t>
  </si>
  <si>
    <t>12.1</t>
  </si>
  <si>
    <t>13.1</t>
  </si>
  <si>
    <t>Штукатурка гипсовая Кнауф, 30кг</t>
  </si>
  <si>
    <t>Грунтовка Glims,10 кг</t>
  </si>
  <si>
    <t>15.1</t>
  </si>
  <si>
    <t>Шпатлевка «Оптимист» S601, 9кг</t>
  </si>
  <si>
    <t>17.1</t>
  </si>
  <si>
    <t>Краска интерьерная «Альпина»,10л</t>
  </si>
  <si>
    <t>18.1</t>
  </si>
  <si>
    <t>19.1</t>
  </si>
  <si>
    <t xml:space="preserve">Дверь деревянная одностворчатая (размер проёма 0,8х2,1м) </t>
  </si>
  <si>
    <t>21.1</t>
  </si>
  <si>
    <t>Профиль направляющий 27*28*3000</t>
  </si>
  <si>
    <t>Профиль 60*27*3000 толщина 0,6 мм</t>
  </si>
  <si>
    <t>22.1</t>
  </si>
  <si>
    <t>23.1</t>
  </si>
  <si>
    <t>28.1</t>
  </si>
  <si>
    <t>35.1</t>
  </si>
  <si>
    <t>37.1</t>
  </si>
  <si>
    <t>Люк ревизионный 300*400</t>
  </si>
  <si>
    <t>31.1</t>
  </si>
  <si>
    <t>38.1</t>
  </si>
  <si>
    <t>40.1</t>
  </si>
  <si>
    <t>Шт.</t>
  </si>
  <si>
    <t>51.1</t>
  </si>
  <si>
    <t>52.1</t>
  </si>
  <si>
    <t>55.1</t>
  </si>
  <si>
    <t>45.1</t>
  </si>
  <si>
    <t>46.1</t>
  </si>
  <si>
    <t>47.1</t>
  </si>
  <si>
    <t>48.1</t>
  </si>
  <si>
    <t>49.1</t>
  </si>
  <si>
    <t>50.1</t>
  </si>
  <si>
    <t>м.п</t>
  </si>
  <si>
    <t>43.1</t>
  </si>
  <si>
    <t xml:space="preserve">Линолиум антистатический Tarkett Acczent Mineral AS или аналог </t>
  </si>
  <si>
    <t>42.1</t>
  </si>
  <si>
    <t>Клей Axton универсальный для линолеума и ковролина, 13 кг</t>
  </si>
  <si>
    <t>44.1</t>
  </si>
  <si>
    <t>Сэндвич панель, наполнение пенополиизацианурат, EI30, цвет RAL 9002, толщина 60 мм, ширина панели 1119, Z замок с гермо вставкой. Толщина металла 0,7 мм.</t>
  </si>
  <si>
    <t>м</t>
  </si>
  <si>
    <t>57.1</t>
  </si>
  <si>
    <t>Монтаж кабеля ПуГВ 1*6</t>
  </si>
  <si>
    <t>Кабель ПуГВ 1*16</t>
  </si>
  <si>
    <t>Кабель ПуГВ 1*6</t>
  </si>
  <si>
    <t>Монтаж ГЗШ</t>
  </si>
  <si>
    <t>ГЗШ</t>
  </si>
  <si>
    <t>59.1</t>
  </si>
  <si>
    <t>60.1</t>
  </si>
  <si>
    <t>Выключатель накладной одноклавишный</t>
  </si>
  <si>
    <t>Установка автомат. Выкл 1(р) 10А, 6кА</t>
  </si>
  <si>
    <r>
      <t xml:space="preserve">Монтаж гофры </t>
    </r>
    <r>
      <rPr>
        <sz val="10"/>
        <color theme="1"/>
        <rFont val="Calibri"/>
        <family val="2"/>
        <charset val="204"/>
      </rPr>
      <t>Ø 20</t>
    </r>
  </si>
  <si>
    <r>
      <t xml:space="preserve">Монтаж гофры </t>
    </r>
    <r>
      <rPr>
        <sz val="10"/>
        <color theme="1"/>
        <rFont val="Calibri"/>
        <family val="2"/>
        <charset val="204"/>
      </rPr>
      <t>Ø 16</t>
    </r>
  </si>
  <si>
    <t>Автомат. Выкл 1(р) 10А, 6кА</t>
  </si>
  <si>
    <r>
      <t xml:space="preserve">Гофра </t>
    </r>
    <r>
      <rPr>
        <sz val="10"/>
        <color theme="1"/>
        <rFont val="Calibri"/>
        <family val="2"/>
        <charset val="204"/>
      </rPr>
      <t>Ø 20</t>
    </r>
  </si>
  <si>
    <r>
      <t xml:space="preserve">Гофра </t>
    </r>
    <r>
      <rPr>
        <sz val="10"/>
        <color theme="1"/>
        <rFont val="Calibri"/>
        <family val="2"/>
        <charset val="204"/>
      </rPr>
      <t>Ø 16</t>
    </r>
  </si>
  <si>
    <r>
      <t xml:space="preserve">Клипсы </t>
    </r>
    <r>
      <rPr>
        <sz val="10"/>
        <color theme="1"/>
        <rFont val="Calibri"/>
        <family val="2"/>
        <charset val="204"/>
      </rPr>
      <t>Ø 20</t>
    </r>
  </si>
  <si>
    <r>
      <t xml:space="preserve">Клипсы </t>
    </r>
    <r>
      <rPr>
        <sz val="10"/>
        <color theme="1"/>
        <rFont val="Calibri"/>
        <family val="2"/>
        <charset val="204"/>
      </rPr>
      <t>Ø 16</t>
    </r>
  </si>
  <si>
    <t>61.1</t>
  </si>
  <si>
    <t>62.1</t>
  </si>
  <si>
    <t>63.1</t>
  </si>
  <si>
    <t>64.1</t>
  </si>
  <si>
    <t>65.1</t>
  </si>
  <si>
    <t>66.1</t>
  </si>
  <si>
    <t>67.1</t>
  </si>
  <si>
    <t>68.1</t>
  </si>
  <si>
    <t>69.1</t>
  </si>
  <si>
    <t>70.1</t>
  </si>
  <si>
    <t>71.1</t>
  </si>
  <si>
    <t>72.1</t>
  </si>
  <si>
    <t>73.1</t>
  </si>
  <si>
    <t>Вент установка производительностью 500 м3/час</t>
  </si>
  <si>
    <t>Монтаж выздуховодов сечением Ø150 мм</t>
  </si>
  <si>
    <t>Шибер Ø150 мм</t>
  </si>
  <si>
    <t>Тройник Ø150 мм</t>
  </si>
  <si>
    <t>Воздуховод из оцинкованной стали сечением Ø150 мм</t>
  </si>
  <si>
    <t>24.1</t>
  </si>
  <si>
    <t>29.1</t>
  </si>
  <si>
    <t>34.1</t>
  </si>
  <si>
    <t>41.1</t>
  </si>
  <si>
    <t>56.1</t>
  </si>
  <si>
    <t>72.2</t>
  </si>
  <si>
    <t>Демонтаж перегородки в пол кирпича</t>
  </si>
  <si>
    <t>Демонтаж простенка под дверь</t>
  </si>
  <si>
    <t>Монтаж штукатурной сетки</t>
  </si>
  <si>
    <t>Сеткаштукатурная оцинкованная 40*40 проволка 0,8 мм</t>
  </si>
  <si>
    <t>Монтаж КУП корпуса управления потенциалом</t>
  </si>
  <si>
    <t>КУП корпус управления потенциалом</t>
  </si>
  <si>
    <t>Монтаж кабеля ПуГВ 1*16</t>
  </si>
  <si>
    <t>Монтаж кабеля ВВГ нг(А) 3*2,5</t>
  </si>
  <si>
    <t>Кабель ВВГ нг(А) 3*2,5 (ГОСТ)</t>
  </si>
  <si>
    <t>Монтаж кабеля ВВГ нг(А) 3*4</t>
  </si>
  <si>
    <t>Кабель ВВГ нг(А) 3*4 (ГОСТ)</t>
  </si>
  <si>
    <t>Монтаж кабеля ВВГ нг(А) 5*6</t>
  </si>
  <si>
    <t>Кабель ВВГ нг(А) 5*6 (ГОСТ)</t>
  </si>
  <si>
    <t>Монтаж кабеля ВВГ нг(А) 3*1,5</t>
  </si>
  <si>
    <t>Кабель ВВГ нг 3*1,5 (ГОСТ)</t>
  </si>
  <si>
    <t>Клема ВАГО</t>
  </si>
  <si>
    <t>Светильник потолочный 600*600 светодиодный, матовый рассеиватель</t>
  </si>
  <si>
    <t>Монтаж светильников светодиодных 1195*75*25 мм</t>
  </si>
  <si>
    <t>Светильник светодиодный длиной 1195*75*25 мм</t>
  </si>
  <si>
    <t>Выключатель накладной двухклавишный</t>
  </si>
  <si>
    <t>Монтаж выключателя накладного</t>
  </si>
  <si>
    <t>Монтаж накладной розетки (двойной) с заземлением</t>
  </si>
  <si>
    <t>Монтаж накладной розетки (четвертная) с заземлением</t>
  </si>
  <si>
    <t>Розетка  накладная двойная с заземлением</t>
  </si>
  <si>
    <t>Розетка  накладная четвертная с заземлением</t>
  </si>
  <si>
    <t>Розетка  накладная одинарная 220В, 32А</t>
  </si>
  <si>
    <t>Монтаж накладной розетки (одинарной) 220В , 32А</t>
  </si>
  <si>
    <t>Монтаж розетки накладной 380В</t>
  </si>
  <si>
    <t>Монтаж кабель канала 20*10</t>
  </si>
  <si>
    <t>Кабель канал 20*10</t>
  </si>
  <si>
    <t>Монтаж кабель канала 25*16</t>
  </si>
  <si>
    <t>Кабель какнал 25*16</t>
  </si>
  <si>
    <t>Установка автомат. Выкл 1(р), С, 16А, 6кА</t>
  </si>
  <si>
    <t>Автомат. Выкл 1(р), С, 16А, 6кА</t>
  </si>
  <si>
    <t>Установка автомат. Выкл 3(р), С, 25А, 6кА</t>
  </si>
  <si>
    <t>Автомат. Выкл 3(р), С, 25А, 6кА</t>
  </si>
  <si>
    <t>Установка автомат. Выкл 3(р), С, 50А, 6кА</t>
  </si>
  <si>
    <t>Автомат. Выкл 3(р), С, 50А, 6кА</t>
  </si>
  <si>
    <t>Установка автомат. Выкл 3(р), С, 32А, 6кА</t>
  </si>
  <si>
    <t>Автомат. Выкл 3(р), С, 32А, 6кА</t>
  </si>
  <si>
    <t>Монтаж кабель канала 60*40</t>
  </si>
  <si>
    <t>Кабель канал 60*40</t>
  </si>
  <si>
    <t>Монтаж лотка перфорированного 3000*200*50</t>
  </si>
  <si>
    <t>Лоток перфорированный 3000*200*50</t>
  </si>
  <si>
    <t>Шпилька М8</t>
  </si>
  <si>
    <t>Монтаж кабель канала для установки розеток в него</t>
  </si>
  <si>
    <t>Кабель канал под монтаж розеток</t>
  </si>
  <si>
    <t>Монтаж розеток электрических в кабель канал</t>
  </si>
  <si>
    <t>Монтаж розеток компьтерных Lan в кабель канал</t>
  </si>
  <si>
    <t>Розетка электрическая для установки в кабель канал</t>
  </si>
  <si>
    <t>Розетка компьютерная Lan для установки в кабель канал</t>
  </si>
  <si>
    <t>Монтаж розеток телефонных для устройства в кабель канал</t>
  </si>
  <si>
    <t>Розетка телефонная для установки в кабель канал</t>
  </si>
  <si>
    <t>Монтаж кабеля КПКВ нг(А) FRLS 1*2*0,75</t>
  </si>
  <si>
    <t>Кабель КПКВ нг(А) FRLS 1*2*0,75</t>
  </si>
  <si>
    <t>Монтаж гофры Ø 16</t>
  </si>
  <si>
    <r>
      <t xml:space="preserve">Гофра </t>
    </r>
    <r>
      <rPr>
        <sz val="10"/>
        <color theme="1"/>
        <rFont val="Calibri"/>
        <family val="2"/>
        <charset val="204"/>
      </rPr>
      <t>Ø 16 оранжевая</t>
    </r>
  </si>
  <si>
    <t>Клипсы Ø 16</t>
  </si>
  <si>
    <t>Монтаж бокса электрического 1-2 модульных</t>
  </si>
  <si>
    <t>Монтаж бокса электрического 4 модульных</t>
  </si>
  <si>
    <t xml:space="preserve">Бокс электрический 1-2-х модульный </t>
  </si>
  <si>
    <t xml:space="preserve">Бокс электрический 4-х модульный </t>
  </si>
  <si>
    <t>Наконечник ИШВИ</t>
  </si>
  <si>
    <t>ком</t>
  </si>
  <si>
    <t>Монтаж щита электрического распеределителого</t>
  </si>
  <si>
    <t xml:space="preserve">Щит электрический распределительный </t>
  </si>
  <si>
    <t>Потолок типа амстронг гигиенические панели типа "Албес"</t>
  </si>
  <si>
    <t>Шпатлевка потолка за 1 раз</t>
  </si>
  <si>
    <t>Покраска потолка в.э краской 1 раз</t>
  </si>
  <si>
    <t xml:space="preserve">Устройство базового слоя наливного пола Основит Скорлайн FK48 (FK45) толщиной слоя 20-50 мм </t>
  </si>
  <si>
    <t>Наливной пол Основит Скорлайн FK48 (FK45)</t>
  </si>
  <si>
    <t>Опресовка наконечников ИШВИ</t>
  </si>
  <si>
    <t>Монтаж кабеля КПКВ нг (А) 1*2*0,75 FRLS</t>
  </si>
  <si>
    <t>Кабель КПКВ нг (А) 1*2*0,75 FRLS</t>
  </si>
  <si>
    <t>Устройство наливного пола финишным ровнителем типа Weber.vetonit 3000 толщиной слоя 3-10 мм</t>
  </si>
  <si>
    <t>Наливной пол Weber.vetonit 3000 толщиной слоя 3-10 мм</t>
  </si>
  <si>
    <t>Огрунтовать  поверхность токопроводящий грунт Forbo 041 Europrimer</t>
  </si>
  <si>
    <t>Грунт форба Forbo 041 Europrimer</t>
  </si>
  <si>
    <t>кг</t>
  </si>
  <si>
    <t>Проклеить медную ленту с шагом 1,5х1,5 м</t>
  </si>
  <si>
    <t>м/п</t>
  </si>
  <si>
    <t>Медная лента Forbo 801 Eurostripe ЕС</t>
  </si>
  <si>
    <t xml:space="preserve">Монтаж антистатического линолиума на клей </t>
  </si>
  <si>
    <t>Токопроводящий клей типа Forbo Eurocol Eurostar Tack EC</t>
  </si>
  <si>
    <t>Монтаж скругляющего плинтуса с заведением линолиума на стену</t>
  </si>
  <si>
    <t>Плинтус скруглящий с коннелюрным профилем</t>
  </si>
  <si>
    <t>Монтаж коммерческого линолиума</t>
  </si>
  <si>
    <t>Линолиум коммерческий  Tarkett</t>
  </si>
  <si>
    <t>Плинтус ПВХ «Идеал Деконика» (высота плинтуса 70 мм, длина 2,2м), с необходимой фурнитурой (углы внешние, углы внутренние, соединители, заглушки)</t>
  </si>
  <si>
    <t xml:space="preserve">Монтаж светильников светодиодных 600*600 мм </t>
  </si>
  <si>
    <t>Светильник светодиодный 600*600 мм с матовым рассейвателем</t>
  </si>
  <si>
    <t>Светильник светодиодный 1195*75*25 мм</t>
  </si>
  <si>
    <t>Монтаж приточного вытяжного клапана</t>
  </si>
  <si>
    <t>76.1</t>
  </si>
  <si>
    <t xml:space="preserve">Приточно вытяжной клапан </t>
  </si>
  <si>
    <t>Монтаж тройника с шибером</t>
  </si>
  <si>
    <t>Тройник с шибером Ø150 мм</t>
  </si>
  <si>
    <t>Кладка стен из ГСБ толщиной 200 мм</t>
  </si>
  <si>
    <t>Монтаж перемычек из уголка 50*50</t>
  </si>
  <si>
    <t>Уголок металлический 50*50 мм</t>
  </si>
  <si>
    <t>ГСБ газосиликатный блок</t>
  </si>
  <si>
    <t>9.1</t>
  </si>
  <si>
    <t>9.2</t>
  </si>
  <si>
    <t>9.3</t>
  </si>
  <si>
    <t>9.4</t>
  </si>
  <si>
    <t>9.5</t>
  </si>
  <si>
    <t>9.6</t>
  </si>
  <si>
    <t>9.7</t>
  </si>
  <si>
    <t>9.8</t>
  </si>
  <si>
    <t>10.1</t>
  </si>
  <si>
    <t>17.2</t>
  </si>
  <si>
    <t>17.3</t>
  </si>
  <si>
    <t>17.4</t>
  </si>
  <si>
    <t>17.5</t>
  </si>
  <si>
    <t>17.6</t>
  </si>
  <si>
    <t>17.7</t>
  </si>
  <si>
    <t>26.1</t>
  </si>
  <si>
    <t>27.1</t>
  </si>
  <si>
    <t>32.1</t>
  </si>
  <si>
    <t>33.1</t>
  </si>
  <si>
    <t xml:space="preserve">36.1 </t>
  </si>
  <si>
    <t>39.1</t>
  </si>
  <si>
    <t>39.2</t>
  </si>
  <si>
    <t>41.2</t>
  </si>
  <si>
    <t>54.1</t>
  </si>
  <si>
    <t>Розетка накладная 380В</t>
  </si>
  <si>
    <t>74.1</t>
  </si>
  <si>
    <t>75.1</t>
  </si>
  <si>
    <t>77.1</t>
  </si>
  <si>
    <t>78.1</t>
  </si>
  <si>
    <t>79.1</t>
  </si>
  <si>
    <t>79.2</t>
  </si>
  <si>
    <t>80.1</t>
  </si>
  <si>
    <t>81.1</t>
  </si>
  <si>
    <t>82.1</t>
  </si>
  <si>
    <t>83.1</t>
  </si>
  <si>
    <t>84.1</t>
  </si>
  <si>
    <t>84.2</t>
  </si>
  <si>
    <t>86.1</t>
  </si>
  <si>
    <t>87.1</t>
  </si>
  <si>
    <t>87.2</t>
  </si>
  <si>
    <t>88.1</t>
  </si>
  <si>
    <t>89.1</t>
  </si>
  <si>
    <t>90.1</t>
  </si>
  <si>
    <t>91.1</t>
  </si>
  <si>
    <t>92.1</t>
  </si>
  <si>
    <t>92.2</t>
  </si>
  <si>
    <t>92.3</t>
  </si>
  <si>
    <t>Подготовил: Начальник отдела №20</t>
  </si>
  <si>
    <t>Хорошилов М.Г.</t>
  </si>
  <si>
    <t>Согласовал: Директор по производсту</t>
  </si>
  <si>
    <t>Лаврентьев Е.В.</t>
  </si>
  <si>
    <t>Ведомость объемов работ, оборудования и мебели по помещению      22-23</t>
  </si>
  <si>
    <t>7.1</t>
  </si>
  <si>
    <t>8.1</t>
  </si>
  <si>
    <t xml:space="preserve">Приложение 2 (22-23)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</si>
</sst>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D6F4"/>
        <bgColor indexed="64"/>
      </patternFill>
    </fill>
    <fill>
      <patternFill patternType="solid">
        <fgColor rgb="FFBDEE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FED8"/>
        <bgColor indexed="64"/>
      </patternFill>
    </fill>
    <fill>
      <patternFill patternType="solid">
        <fgColor rgb="FFEEFFE1"/>
        <bgColor indexed="64"/>
      </patternFill>
    </fill>
    <fill>
      <patternFill patternType="solid">
        <fgColor rgb="FFDDF6FF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4" fontId="0" fillId="3" borderId="9" xfId="0" applyNumberFormat="1" applyFill="1" applyBorder="1" applyAlignment="1">
      <alignment vertical="center"/>
    </xf>
    <xf numFmtId="4" fontId="0" fillId="3" borderId="10" xfId="0" applyNumberFormat="1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4" fontId="0" fillId="3" borderId="11" xfId="0" applyNumberFormat="1" applyFill="1" applyBorder="1" applyAlignment="1">
      <alignment vertical="center"/>
    </xf>
    <xf numFmtId="4" fontId="0" fillId="3" borderId="12" xfId="0" applyNumberForma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 applyAlignment="1"/>
    <xf numFmtId="49" fontId="1" fillId="4" borderId="7" xfId="0" applyNumberFormat="1" applyFont="1" applyFill="1" applyBorder="1" applyAlignment="1">
      <alignment horizontal="center" vertical="center"/>
    </xf>
    <xf numFmtId="49" fontId="0" fillId="3" borderId="11" xfId="0" applyNumberForma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12" xfId="0" applyFill="1" applyBorder="1" applyAlignment="1">
      <alignment vertical="center"/>
    </xf>
    <xf numFmtId="4" fontId="0" fillId="3" borderId="13" xfId="0" applyNumberFormat="1" applyFill="1" applyBorder="1" applyAlignment="1">
      <alignment vertical="center"/>
    </xf>
    <xf numFmtId="4" fontId="1" fillId="5" borderId="0" xfId="0" applyNumberFormat="1" applyFont="1" applyFill="1" applyBorder="1" applyAlignment="1">
      <alignment vertical="center"/>
    </xf>
    <xf numFmtId="49" fontId="1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3" fontId="1" fillId="6" borderId="0" xfId="0" applyNumberFormat="1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4" fontId="1" fillId="5" borderId="15" xfId="0" applyNumberFormat="1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6" borderId="15" xfId="0" applyNumberFormat="1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horizontal="center" vertical="center"/>
    </xf>
    <xf numFmtId="4" fontId="1" fillId="6" borderId="15" xfId="0" applyNumberFormat="1" applyFont="1" applyFill="1" applyBorder="1" applyAlignment="1">
      <alignment vertical="center"/>
    </xf>
    <xf numFmtId="4" fontId="1" fillId="7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4" fontId="1" fillId="5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49" fontId="1" fillId="6" borderId="18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vertical="center" wrapText="1"/>
    </xf>
    <xf numFmtId="0" fontId="1" fillId="6" borderId="18" xfId="0" applyFont="1" applyFill="1" applyBorder="1" applyAlignment="1">
      <alignment horizontal="center" vertical="center"/>
    </xf>
    <xf numFmtId="4" fontId="1" fillId="6" borderId="18" xfId="0" applyNumberFormat="1" applyFont="1" applyFill="1" applyBorder="1" applyAlignment="1">
      <alignment vertical="center"/>
    </xf>
    <xf numFmtId="4" fontId="1" fillId="7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 wrapText="1"/>
    </xf>
    <xf numFmtId="3" fontId="1" fillId="6" borderId="15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4" fontId="1" fillId="7" borderId="21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 wrapText="1"/>
    </xf>
    <xf numFmtId="3" fontId="1" fillId="6" borderId="18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/>
    </xf>
    <xf numFmtId="4" fontId="1" fillId="5" borderId="22" xfId="0" applyNumberFormat="1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49" fontId="1" fillId="6" borderId="22" xfId="0" applyNumberFormat="1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horizontal="center" vertical="center"/>
    </xf>
    <xf numFmtId="3" fontId="1" fillId="6" borderId="22" xfId="0" applyNumberFormat="1" applyFont="1" applyFill="1" applyBorder="1" applyAlignment="1">
      <alignment vertical="center"/>
    </xf>
    <xf numFmtId="4" fontId="1" fillId="6" borderId="22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 wrapText="1"/>
    </xf>
    <xf numFmtId="164" fontId="1" fillId="6" borderId="22" xfId="0" applyNumberFormat="1" applyFont="1" applyFill="1" applyBorder="1" applyAlignment="1">
      <alignment vertical="center"/>
    </xf>
    <xf numFmtId="164" fontId="1" fillId="6" borderId="15" xfId="0" applyNumberFormat="1" applyFont="1" applyFill="1" applyBorder="1" applyAlignment="1">
      <alignment vertical="center"/>
    </xf>
    <xf numFmtId="4" fontId="1" fillId="5" borderId="0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4" fontId="1" fillId="7" borderId="0" xfId="0" applyNumberFormat="1" applyFont="1" applyFill="1" applyBorder="1" applyAlignment="1">
      <alignment vertical="center"/>
    </xf>
    <xf numFmtId="4" fontId="1" fillId="7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horizontal="center" vertical="center"/>
    </xf>
    <xf numFmtId="4" fontId="0" fillId="0" borderId="18" xfId="0" applyNumberFormat="1" applyBorder="1" applyAlignment="1"/>
    <xf numFmtId="4" fontId="0" fillId="0" borderId="0" xfId="0" applyNumberFormat="1" applyAlignment="1"/>
    <xf numFmtId="4" fontId="0" fillId="0" borderId="0" xfId="0" applyNumberFormat="1" applyAlignment="1">
      <alignment horizontal="right"/>
    </xf>
    <xf numFmtId="4" fontId="1" fillId="5" borderId="0" xfId="0" applyNumberFormat="1" applyFont="1" applyFill="1" applyBorder="1" applyAlignment="1">
      <alignment horizontal="center" vertical="center"/>
    </xf>
    <xf numFmtId="4" fontId="1" fillId="5" borderId="18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252</xdr:row>
      <xdr:rowOff>133350</xdr:rowOff>
    </xdr:from>
    <xdr:to>
      <xdr:col>19</xdr:col>
      <xdr:colOff>285751</xdr:colOff>
      <xdr:row>283</xdr:row>
      <xdr:rowOff>180977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4" t="23800" r="24574" b="18322"/>
        <a:stretch/>
      </xdr:blipFill>
      <xdr:spPr>
        <a:xfrm>
          <a:off x="5572125" y="37566600"/>
          <a:ext cx="9172576" cy="595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"/>
  <sheetViews>
    <sheetView tabSelected="1" zoomScale="118" zoomScaleNormal="118" workbookViewId="0">
      <selection activeCell="J11" sqref="J11"/>
    </sheetView>
  </sheetViews>
  <sheetFormatPr defaultRowHeight="15" outlineLevelRow="1" x14ac:dyDescent="0.25"/>
  <cols>
    <col min="1" max="1" width="2" customWidth="1"/>
    <col min="2" max="2" width="4" style="1" customWidth="1"/>
    <col min="3" max="3" width="39.85546875" customWidth="1"/>
    <col min="4" max="4" width="7.85546875" style="6" customWidth="1"/>
    <col min="5" max="5" width="9.140625" style="5"/>
    <col min="6" max="6" width="7.140625" style="5" customWidth="1"/>
    <col min="7" max="7" width="14.28515625" style="5" customWidth="1"/>
    <col min="8" max="8" width="0.140625" customWidth="1"/>
    <col min="9" max="9" width="6" style="30" customWidth="1"/>
    <col min="10" max="10" width="38.5703125" style="29" customWidth="1"/>
    <col min="11" max="11" width="7.85546875" style="6" customWidth="1"/>
    <col min="12" max="12" width="12.42578125" style="5" customWidth="1"/>
    <col min="13" max="13" width="5.85546875" style="5" customWidth="1"/>
    <col min="14" max="14" width="13" style="5" customWidth="1"/>
    <col min="15" max="15" width="10.140625" style="5" customWidth="1"/>
  </cols>
  <sheetData>
    <row r="1" spans="2:15" x14ac:dyDescent="0.25">
      <c r="N1" s="92" t="s">
        <v>300</v>
      </c>
      <c r="O1" s="92"/>
    </row>
    <row r="2" spans="2:15" ht="18" customHeight="1" x14ac:dyDescent="0.25">
      <c r="C2" s="28" t="s">
        <v>297</v>
      </c>
    </row>
    <row r="3" spans="2:15" ht="3" customHeight="1" x14ac:dyDescent="0.25"/>
    <row r="4" spans="2:15" s="3" customFormat="1" ht="25.5" customHeight="1" x14ac:dyDescent="0.25">
      <c r="B4" s="17" t="s">
        <v>9</v>
      </c>
      <c r="C4" s="17" t="s">
        <v>3</v>
      </c>
      <c r="D4" s="17" t="s">
        <v>0</v>
      </c>
      <c r="E4" s="18" t="s">
        <v>1</v>
      </c>
      <c r="F4" s="18" t="s">
        <v>2</v>
      </c>
      <c r="G4" s="19" t="s">
        <v>4</v>
      </c>
      <c r="H4" s="17"/>
      <c r="I4" s="31" t="s">
        <v>9</v>
      </c>
      <c r="J4" s="34" t="s">
        <v>5</v>
      </c>
      <c r="K4" s="17" t="s">
        <v>0</v>
      </c>
      <c r="L4" s="18" t="s">
        <v>1</v>
      </c>
      <c r="M4" s="18" t="s">
        <v>2</v>
      </c>
      <c r="N4" s="19" t="s">
        <v>6</v>
      </c>
      <c r="O4" s="18" t="s">
        <v>7</v>
      </c>
    </row>
    <row r="5" spans="2:15" s="2" customFormat="1" outlineLevel="1" x14ac:dyDescent="0.25">
      <c r="B5" s="89">
        <v>1</v>
      </c>
      <c r="C5" s="68" t="s">
        <v>145</v>
      </c>
      <c r="D5" s="70" t="s">
        <v>10</v>
      </c>
      <c r="E5" s="71">
        <f>(0.6+0.87)*2.985+2.823*2.985*2-2*0.9*2+0.9*2+2.81*3.35-2*0.8</f>
        <v>27.254759999999997</v>
      </c>
      <c r="F5" s="71"/>
      <c r="G5" s="71">
        <f t="shared" ref="G5:G74" si="0">ROUND(E5*F5,2)</f>
        <v>0</v>
      </c>
      <c r="H5" s="72"/>
      <c r="I5" s="73"/>
      <c r="J5" s="74"/>
      <c r="K5" s="75"/>
      <c r="L5" s="77"/>
      <c r="M5" s="77"/>
      <c r="N5" s="77"/>
      <c r="O5" s="88"/>
    </row>
    <row r="6" spans="2:15" s="2" customFormat="1" outlineLevel="1" x14ac:dyDescent="0.25">
      <c r="B6" s="89">
        <f t="shared" ref="B6:B13" si="1">B5+1</f>
        <v>2</v>
      </c>
      <c r="C6" s="68" t="s">
        <v>146</v>
      </c>
      <c r="D6" s="70" t="s">
        <v>10</v>
      </c>
      <c r="E6" s="71">
        <f>2*0.9</f>
        <v>1.8</v>
      </c>
      <c r="F6" s="71"/>
      <c r="G6" s="71">
        <f t="shared" si="0"/>
        <v>0</v>
      </c>
      <c r="H6" s="72"/>
      <c r="I6" s="73"/>
      <c r="J6" s="74"/>
      <c r="K6" s="75"/>
      <c r="L6" s="77"/>
      <c r="M6" s="77"/>
      <c r="N6" s="77"/>
      <c r="O6" s="88"/>
    </row>
    <row r="7" spans="2:15" s="2" customFormat="1" outlineLevel="1" x14ac:dyDescent="0.25">
      <c r="B7" s="89">
        <f t="shared" si="1"/>
        <v>3</v>
      </c>
      <c r="C7" s="68" t="s">
        <v>13</v>
      </c>
      <c r="D7" s="70" t="s">
        <v>12</v>
      </c>
      <c r="E7" s="71">
        <f>6*0.12*3.35+2.81*0.12*3.35-0.8*2.1*0.12</f>
        <v>3.34002</v>
      </c>
      <c r="F7" s="71"/>
      <c r="G7" s="71">
        <f t="shared" si="0"/>
        <v>0</v>
      </c>
      <c r="H7" s="72"/>
      <c r="I7" s="73"/>
      <c r="J7" s="74"/>
      <c r="K7" s="75"/>
      <c r="L7" s="77"/>
      <c r="M7" s="77"/>
      <c r="N7" s="77"/>
      <c r="O7" s="88"/>
    </row>
    <row r="8" spans="2:15" s="2" customFormat="1" outlineLevel="1" x14ac:dyDescent="0.25">
      <c r="B8" s="89">
        <f t="shared" si="1"/>
        <v>4</v>
      </c>
      <c r="C8" s="68" t="s">
        <v>48</v>
      </c>
      <c r="D8" s="70" t="s">
        <v>49</v>
      </c>
      <c r="E8" s="71">
        <v>2</v>
      </c>
      <c r="F8" s="71"/>
      <c r="G8" s="71"/>
      <c r="H8" s="72"/>
      <c r="I8" s="73"/>
      <c r="J8" s="74"/>
      <c r="K8" s="75"/>
      <c r="L8" s="77"/>
      <c r="M8" s="77"/>
      <c r="N8" s="77"/>
      <c r="O8" s="88"/>
    </row>
    <row r="9" spans="2:15" s="2" customFormat="1" outlineLevel="1" x14ac:dyDescent="0.25">
      <c r="B9" s="89">
        <f t="shared" si="1"/>
        <v>5</v>
      </c>
      <c r="C9" s="68" t="s">
        <v>47</v>
      </c>
      <c r="D9" s="70" t="s">
        <v>49</v>
      </c>
      <c r="E9" s="71">
        <v>2</v>
      </c>
      <c r="F9" s="71"/>
      <c r="G9" s="71"/>
      <c r="H9" s="72"/>
      <c r="I9" s="73"/>
      <c r="J9" s="74"/>
      <c r="K9" s="75"/>
      <c r="L9" s="77"/>
      <c r="M9" s="77"/>
      <c r="N9" s="77"/>
      <c r="O9" s="88"/>
    </row>
    <row r="10" spans="2:15" s="2" customFormat="1" outlineLevel="1" x14ac:dyDescent="0.25">
      <c r="B10" s="89">
        <f t="shared" si="1"/>
        <v>6</v>
      </c>
      <c r="C10" s="68" t="s">
        <v>46</v>
      </c>
      <c r="D10" s="70" t="s">
        <v>49</v>
      </c>
      <c r="E10" s="71">
        <v>2</v>
      </c>
      <c r="F10" s="71"/>
      <c r="G10" s="71"/>
      <c r="H10" s="72"/>
      <c r="I10" s="73"/>
      <c r="J10" s="74"/>
      <c r="K10" s="75"/>
      <c r="L10" s="77"/>
      <c r="M10" s="77"/>
      <c r="N10" s="77"/>
      <c r="O10" s="88"/>
    </row>
    <row r="11" spans="2:15" s="2" customFormat="1" outlineLevel="1" x14ac:dyDescent="0.25">
      <c r="B11" s="89">
        <f t="shared" si="1"/>
        <v>7</v>
      </c>
      <c r="C11" s="68" t="s">
        <v>242</v>
      </c>
      <c r="D11" s="82" t="s">
        <v>12</v>
      </c>
      <c r="E11" s="49">
        <f>3.14*2.985*0.2-1.6*2.3*0.2+2.823*2.985*0.2+2.1*0.9*0.2</f>
        <v>3.201911</v>
      </c>
      <c r="F11" s="49"/>
      <c r="G11" s="49"/>
      <c r="H11" s="50"/>
      <c r="I11" s="51" t="s">
        <v>298</v>
      </c>
      <c r="J11" s="52" t="s">
        <v>245</v>
      </c>
      <c r="K11" s="53" t="s">
        <v>12</v>
      </c>
      <c r="L11" s="54">
        <v>3.2</v>
      </c>
      <c r="M11" s="54"/>
      <c r="N11" s="54"/>
      <c r="O11" s="55"/>
    </row>
    <row r="12" spans="2:15" s="2" customFormat="1" outlineLevel="1" x14ac:dyDescent="0.25">
      <c r="B12" s="89">
        <f t="shared" si="1"/>
        <v>8</v>
      </c>
      <c r="C12" s="68" t="s">
        <v>243</v>
      </c>
      <c r="D12" s="82" t="s">
        <v>225</v>
      </c>
      <c r="E12" s="49">
        <f>2+2+1.3+1.3</f>
        <v>6.6</v>
      </c>
      <c r="F12" s="49"/>
      <c r="G12" s="49"/>
      <c r="H12" s="50"/>
      <c r="I12" s="51" t="s">
        <v>299</v>
      </c>
      <c r="J12" s="52" t="s">
        <v>244</v>
      </c>
      <c r="K12" s="53" t="s">
        <v>225</v>
      </c>
      <c r="L12" s="54">
        <v>6.6</v>
      </c>
      <c r="M12" s="54"/>
      <c r="N12" s="54"/>
      <c r="O12" s="55"/>
    </row>
    <row r="13" spans="2:15" s="2" customFormat="1" ht="38.25" outlineLevel="1" x14ac:dyDescent="0.25">
      <c r="B13" s="48">
        <f t="shared" si="1"/>
        <v>9</v>
      </c>
      <c r="C13" s="46" t="s">
        <v>14</v>
      </c>
      <c r="D13" s="82" t="s">
        <v>10</v>
      </c>
      <c r="E13" s="49">
        <f>2.81*3.35-0.8*2.1</f>
        <v>7.7335000000000012</v>
      </c>
      <c r="F13" s="49"/>
      <c r="G13" s="49"/>
      <c r="H13" s="50"/>
      <c r="I13" s="51" t="s">
        <v>246</v>
      </c>
      <c r="J13" s="52" t="s">
        <v>54</v>
      </c>
      <c r="K13" s="53" t="s">
        <v>11</v>
      </c>
      <c r="L13" s="80">
        <f>(E13*2)/3.6 +0.7</f>
        <v>4.9963888888888892</v>
      </c>
      <c r="M13" s="54"/>
      <c r="N13" s="54"/>
      <c r="O13" s="55"/>
    </row>
    <row r="14" spans="2:15" s="2" customFormat="1" ht="25.5" outlineLevel="1" x14ac:dyDescent="0.25">
      <c r="B14" s="66"/>
      <c r="C14" s="46"/>
      <c r="D14" s="83"/>
      <c r="E14" s="41"/>
      <c r="F14" s="41"/>
      <c r="G14" s="41"/>
      <c r="H14" s="37"/>
      <c r="I14" s="42" t="s">
        <v>247</v>
      </c>
      <c r="J14" s="43" t="s">
        <v>55</v>
      </c>
      <c r="K14" s="44" t="s">
        <v>11</v>
      </c>
      <c r="L14" s="47">
        <f>((1.96+0.85)*2+2*3.35)/3+2</f>
        <v>6.1066666666666665</v>
      </c>
      <c r="M14" s="45"/>
      <c r="N14" s="45"/>
      <c r="O14" s="67"/>
    </row>
    <row r="15" spans="2:15" s="2" customFormat="1" ht="25.5" outlineLevel="1" x14ac:dyDescent="0.25">
      <c r="B15" s="66"/>
      <c r="C15" s="46"/>
      <c r="D15" s="83"/>
      <c r="E15" s="41"/>
      <c r="F15" s="41"/>
      <c r="G15" s="41"/>
      <c r="H15" s="37"/>
      <c r="I15" s="42" t="s">
        <v>248</v>
      </c>
      <c r="J15" s="43" t="s">
        <v>56</v>
      </c>
      <c r="K15" s="44" t="s">
        <v>11</v>
      </c>
      <c r="L15" s="47">
        <v>6</v>
      </c>
      <c r="M15" s="45"/>
      <c r="N15" s="45"/>
      <c r="O15" s="67"/>
    </row>
    <row r="16" spans="2:15" s="2" customFormat="1" ht="25.5" outlineLevel="1" x14ac:dyDescent="0.25">
      <c r="B16" s="66"/>
      <c r="C16" s="46"/>
      <c r="D16" s="83"/>
      <c r="E16" s="41"/>
      <c r="F16" s="41"/>
      <c r="G16" s="41"/>
      <c r="H16" s="37"/>
      <c r="I16" s="42" t="s">
        <v>249</v>
      </c>
      <c r="J16" s="43" t="s">
        <v>57</v>
      </c>
      <c r="K16" s="44" t="s">
        <v>11</v>
      </c>
      <c r="L16" s="47">
        <f>L15*6</f>
        <v>36</v>
      </c>
      <c r="M16" s="45"/>
      <c r="N16" s="45"/>
      <c r="O16" s="67"/>
    </row>
    <row r="17" spans="2:15" s="2" customFormat="1" outlineLevel="1" x14ac:dyDescent="0.25">
      <c r="B17" s="66"/>
      <c r="C17" s="46"/>
      <c r="D17" s="83"/>
      <c r="E17" s="41"/>
      <c r="F17" s="41"/>
      <c r="G17" s="41"/>
      <c r="H17" s="37"/>
      <c r="I17" s="42" t="s">
        <v>250</v>
      </c>
      <c r="J17" s="43" t="s">
        <v>58</v>
      </c>
      <c r="K17" s="44" t="s">
        <v>11</v>
      </c>
      <c r="L17" s="47">
        <f>E13*13*2</f>
        <v>201.07100000000003</v>
      </c>
      <c r="M17" s="45"/>
      <c r="N17" s="45"/>
      <c r="O17" s="67"/>
    </row>
    <row r="18" spans="2:15" s="2" customFormat="1" outlineLevel="1" x14ac:dyDescent="0.25">
      <c r="B18" s="66"/>
      <c r="C18" s="46"/>
      <c r="D18" s="83"/>
      <c r="E18" s="41"/>
      <c r="F18" s="41"/>
      <c r="G18" s="41"/>
      <c r="H18" s="37"/>
      <c r="I18" s="42" t="s">
        <v>251</v>
      </c>
      <c r="J18" s="43" t="s">
        <v>59</v>
      </c>
      <c r="K18" s="44" t="s">
        <v>11</v>
      </c>
      <c r="L18" s="47">
        <v>30</v>
      </c>
      <c r="M18" s="45"/>
      <c r="N18" s="45"/>
      <c r="O18" s="67"/>
    </row>
    <row r="19" spans="2:15" s="2" customFormat="1" outlineLevel="1" x14ac:dyDescent="0.25">
      <c r="B19" s="66"/>
      <c r="C19" s="46"/>
      <c r="D19" s="83"/>
      <c r="E19" s="41"/>
      <c r="F19" s="41"/>
      <c r="G19" s="41"/>
      <c r="H19" s="37"/>
      <c r="I19" s="42" t="s">
        <v>252</v>
      </c>
      <c r="J19" s="43" t="s">
        <v>60</v>
      </c>
      <c r="K19" s="44" t="s">
        <v>11</v>
      </c>
      <c r="L19" s="47">
        <f>L18</f>
        <v>30</v>
      </c>
      <c r="M19" s="45"/>
      <c r="N19" s="45"/>
      <c r="O19" s="67"/>
    </row>
    <row r="20" spans="2:15" s="2" customFormat="1" ht="25.5" outlineLevel="1" x14ac:dyDescent="0.25">
      <c r="B20" s="56"/>
      <c r="C20" s="68"/>
      <c r="D20" s="84"/>
      <c r="E20" s="57"/>
      <c r="F20" s="57"/>
      <c r="G20" s="57"/>
      <c r="H20" s="58"/>
      <c r="I20" s="59" t="s">
        <v>253</v>
      </c>
      <c r="J20" s="60" t="s">
        <v>61</v>
      </c>
      <c r="K20" s="61" t="s">
        <v>10</v>
      </c>
      <c r="L20" s="69">
        <f>E13</f>
        <v>7.7335000000000012</v>
      </c>
      <c r="M20" s="62"/>
      <c r="N20" s="62"/>
      <c r="O20" s="63"/>
    </row>
    <row r="21" spans="2:15" s="2" customFormat="1" ht="25.5" outlineLevel="1" x14ac:dyDescent="0.25">
      <c r="B21" s="56">
        <v>10</v>
      </c>
      <c r="C21" s="68" t="s">
        <v>147</v>
      </c>
      <c r="D21" s="84" t="s">
        <v>10</v>
      </c>
      <c r="E21" s="57">
        <f>6*3.35</f>
        <v>20.100000000000001</v>
      </c>
      <c r="F21" s="57"/>
      <c r="G21" s="57"/>
      <c r="H21" s="58"/>
      <c r="I21" s="59" t="s">
        <v>254</v>
      </c>
      <c r="J21" s="60" t="s">
        <v>148</v>
      </c>
      <c r="K21" s="61" t="s">
        <v>10</v>
      </c>
      <c r="L21" s="69">
        <v>20</v>
      </c>
      <c r="M21" s="62"/>
      <c r="N21" s="62"/>
      <c r="O21" s="63"/>
    </row>
    <row r="22" spans="2:15" s="2" customFormat="1" outlineLevel="1" x14ac:dyDescent="0.25">
      <c r="B22" s="89">
        <v>11</v>
      </c>
      <c r="C22" s="68" t="s">
        <v>15</v>
      </c>
      <c r="D22" s="70" t="s">
        <v>10</v>
      </c>
      <c r="E22" s="71">
        <f>(1.1+0.11+1.6+0.06+1.23)*3.35-1.6*2.4+6*3.35*3+(1.1+0.11+1.6+0.06+1.23)*3.35-1.6*2.3+(1.25+0.06+0.9+0.06+0.58)*3.35-2.1*0.9+2.95*3.35+2.9*3.35+(0.05+0.2+0.05+1.8+0.5+0.7)*3.35-1.8*2.4-0.9*2.1*2</f>
        <v>110.46000000000001</v>
      </c>
      <c r="F22" s="71"/>
      <c r="G22" s="71"/>
      <c r="H22" s="72"/>
      <c r="I22" s="73" t="s">
        <v>62</v>
      </c>
      <c r="J22" s="74" t="s">
        <v>65</v>
      </c>
      <c r="K22" s="75" t="s">
        <v>11</v>
      </c>
      <c r="L22" s="76">
        <f>(E22*8.5*1.2)/30</f>
        <v>37.556400000000004</v>
      </c>
      <c r="M22" s="77"/>
      <c r="N22" s="77"/>
      <c r="O22" s="88"/>
    </row>
    <row r="23" spans="2:15" s="2" customFormat="1" outlineLevel="1" x14ac:dyDescent="0.25">
      <c r="B23" s="89">
        <f t="shared" ref="B23:B99" si="2">B22+1</f>
        <v>12</v>
      </c>
      <c r="C23" s="68" t="s">
        <v>16</v>
      </c>
      <c r="D23" s="70" t="s">
        <v>10</v>
      </c>
      <c r="E23" s="71">
        <f>E22+E13*2</f>
        <v>125.92700000000001</v>
      </c>
      <c r="F23" s="71"/>
      <c r="G23" s="71"/>
      <c r="H23" s="72"/>
      <c r="I23" s="73" t="s">
        <v>63</v>
      </c>
      <c r="J23" s="74" t="s">
        <v>66</v>
      </c>
      <c r="K23" s="75" t="s">
        <v>11</v>
      </c>
      <c r="L23" s="76">
        <f>(E22*3*0.14)/10</f>
        <v>4.6393200000000006</v>
      </c>
      <c r="M23" s="77"/>
      <c r="N23" s="77"/>
      <c r="O23" s="88"/>
    </row>
    <row r="24" spans="2:15" s="2" customFormat="1" ht="25.5" outlineLevel="1" x14ac:dyDescent="0.25">
      <c r="B24" s="89">
        <f t="shared" si="2"/>
        <v>13</v>
      </c>
      <c r="C24" s="68" t="s">
        <v>17</v>
      </c>
      <c r="D24" s="70" t="s">
        <v>10</v>
      </c>
      <c r="E24" s="71">
        <f>E23</f>
        <v>125.92700000000001</v>
      </c>
      <c r="F24" s="71"/>
      <c r="G24" s="71"/>
      <c r="H24" s="72"/>
      <c r="I24" s="73" t="s">
        <v>64</v>
      </c>
      <c r="J24" s="74" t="s">
        <v>68</v>
      </c>
      <c r="K24" s="75" t="s">
        <v>11</v>
      </c>
      <c r="L24" s="77">
        <f>E24/9</f>
        <v>13.991888888888889</v>
      </c>
      <c r="M24" s="77"/>
      <c r="N24" s="77"/>
      <c r="O24" s="88"/>
    </row>
    <row r="25" spans="2:15" s="2" customFormat="1" outlineLevel="1" x14ac:dyDescent="0.25">
      <c r="B25" s="89">
        <f t="shared" si="2"/>
        <v>14</v>
      </c>
      <c r="C25" s="68" t="s">
        <v>18</v>
      </c>
      <c r="D25" s="70" t="s">
        <v>10</v>
      </c>
      <c r="E25" s="71">
        <f>E24</f>
        <v>125.92700000000001</v>
      </c>
      <c r="F25" s="71"/>
      <c r="G25" s="71"/>
      <c r="H25" s="72"/>
      <c r="I25" s="73"/>
      <c r="J25" s="74"/>
      <c r="K25" s="75"/>
      <c r="L25" s="77"/>
      <c r="M25" s="77"/>
      <c r="N25" s="77"/>
      <c r="O25" s="88"/>
    </row>
    <row r="26" spans="2:15" s="2" customFormat="1" outlineLevel="1" x14ac:dyDescent="0.25">
      <c r="B26" s="89">
        <f t="shared" si="2"/>
        <v>15</v>
      </c>
      <c r="C26" s="68" t="s">
        <v>19</v>
      </c>
      <c r="D26" s="70" t="s">
        <v>10</v>
      </c>
      <c r="E26" s="71">
        <f>E25</f>
        <v>125.92700000000001</v>
      </c>
      <c r="F26" s="71"/>
      <c r="G26" s="71"/>
      <c r="H26" s="72"/>
      <c r="I26" s="73" t="s">
        <v>67</v>
      </c>
      <c r="J26" s="74" t="s">
        <v>70</v>
      </c>
      <c r="K26" s="75" t="s">
        <v>11</v>
      </c>
      <c r="L26" s="77">
        <f>(E26*2)/65</f>
        <v>3.8746769230769234</v>
      </c>
      <c r="M26" s="77"/>
      <c r="N26" s="77"/>
      <c r="O26" s="88"/>
    </row>
    <row r="27" spans="2:15" s="2" customFormat="1" ht="25.5" outlineLevel="1" x14ac:dyDescent="0.25">
      <c r="B27" s="89">
        <f t="shared" si="2"/>
        <v>16</v>
      </c>
      <c r="C27" s="68" t="s">
        <v>20</v>
      </c>
      <c r="D27" s="82" t="s">
        <v>11</v>
      </c>
      <c r="E27" s="49">
        <v>2</v>
      </c>
      <c r="F27" s="49"/>
      <c r="G27" s="49"/>
      <c r="H27" s="50"/>
      <c r="I27" s="51" t="s">
        <v>71</v>
      </c>
      <c r="J27" s="52" t="s">
        <v>73</v>
      </c>
      <c r="K27" s="53" t="s">
        <v>11</v>
      </c>
      <c r="L27" s="54">
        <v>2</v>
      </c>
      <c r="M27" s="54"/>
      <c r="N27" s="54"/>
      <c r="O27" s="55"/>
    </row>
    <row r="28" spans="2:15" s="2" customFormat="1" ht="41.25" customHeight="1" outlineLevel="1" x14ac:dyDescent="0.25">
      <c r="B28" s="48">
        <f t="shared" si="2"/>
        <v>17</v>
      </c>
      <c r="C28" s="46" t="s">
        <v>52</v>
      </c>
      <c r="D28" s="82" t="s">
        <v>21</v>
      </c>
      <c r="E28" s="49">
        <f>2*3.35*2</f>
        <v>13.4</v>
      </c>
      <c r="F28" s="49"/>
      <c r="G28" s="49"/>
      <c r="H28" s="50"/>
      <c r="I28" s="51" t="s">
        <v>69</v>
      </c>
      <c r="J28" s="52" t="s">
        <v>54</v>
      </c>
      <c r="K28" s="53" t="s">
        <v>11</v>
      </c>
      <c r="L28" s="65">
        <f>(E28*2)/3.6</f>
        <v>7.4444444444444446</v>
      </c>
      <c r="M28" s="54"/>
      <c r="N28" s="54"/>
      <c r="O28" s="55"/>
    </row>
    <row r="29" spans="2:15" s="2" customFormat="1" ht="19.5" customHeight="1" outlineLevel="1" x14ac:dyDescent="0.25">
      <c r="B29" s="66"/>
      <c r="C29" s="46"/>
      <c r="D29" s="83"/>
      <c r="E29" s="41"/>
      <c r="F29" s="41"/>
      <c r="G29" s="41"/>
      <c r="H29" s="37"/>
      <c r="I29" s="42" t="s">
        <v>255</v>
      </c>
      <c r="J29" s="43" t="s">
        <v>75</v>
      </c>
      <c r="K29" s="44" t="s">
        <v>11</v>
      </c>
      <c r="L29" s="45">
        <v>8</v>
      </c>
      <c r="M29" s="45"/>
      <c r="N29" s="45"/>
      <c r="O29" s="67"/>
    </row>
    <row r="30" spans="2:15" s="2" customFormat="1" ht="20.25" customHeight="1" outlineLevel="1" x14ac:dyDescent="0.25">
      <c r="B30" s="66"/>
      <c r="C30" s="46"/>
      <c r="D30" s="83"/>
      <c r="E30" s="41"/>
      <c r="F30" s="41"/>
      <c r="G30" s="41"/>
      <c r="H30" s="37"/>
      <c r="I30" s="42" t="s">
        <v>256</v>
      </c>
      <c r="J30" s="43" t="s">
        <v>76</v>
      </c>
      <c r="K30" s="44" t="s">
        <v>11</v>
      </c>
      <c r="L30" s="45">
        <v>4</v>
      </c>
      <c r="M30" s="45"/>
      <c r="N30" s="45"/>
      <c r="O30" s="67"/>
    </row>
    <row r="31" spans="2:15" s="2" customFormat="1" ht="25.5" customHeight="1" outlineLevel="1" x14ac:dyDescent="0.25">
      <c r="B31" s="66"/>
      <c r="C31" s="46"/>
      <c r="D31" s="83"/>
      <c r="E31" s="41"/>
      <c r="F31" s="41"/>
      <c r="G31" s="41"/>
      <c r="H31" s="37"/>
      <c r="I31" s="42" t="s">
        <v>257</v>
      </c>
      <c r="J31" s="43" t="s">
        <v>57</v>
      </c>
      <c r="K31" s="44" t="s">
        <v>11</v>
      </c>
      <c r="L31" s="47">
        <f>L30*6</f>
        <v>24</v>
      </c>
      <c r="M31" s="45"/>
      <c r="N31" s="45"/>
      <c r="O31" s="67"/>
    </row>
    <row r="32" spans="2:15" s="2" customFormat="1" ht="17.25" customHeight="1" outlineLevel="1" x14ac:dyDescent="0.25">
      <c r="B32" s="66"/>
      <c r="C32" s="46"/>
      <c r="D32" s="83"/>
      <c r="E32" s="41"/>
      <c r="F32" s="41"/>
      <c r="G32" s="41"/>
      <c r="H32" s="37"/>
      <c r="I32" s="42" t="s">
        <v>258</v>
      </c>
      <c r="J32" s="43" t="s">
        <v>58</v>
      </c>
      <c r="K32" s="44" t="s">
        <v>11</v>
      </c>
      <c r="L32" s="47">
        <f>E28*13*2</f>
        <v>348.40000000000003</v>
      </c>
      <c r="M32" s="45"/>
      <c r="N32" s="45"/>
      <c r="O32" s="67"/>
    </row>
    <row r="33" spans="2:15" s="2" customFormat="1" ht="18.75" customHeight="1" outlineLevel="1" x14ac:dyDescent="0.25">
      <c r="B33" s="66"/>
      <c r="C33" s="46"/>
      <c r="D33" s="83"/>
      <c r="E33" s="41"/>
      <c r="F33" s="41"/>
      <c r="G33" s="41"/>
      <c r="H33" s="37"/>
      <c r="I33" s="42" t="s">
        <v>259</v>
      </c>
      <c r="J33" s="43" t="s">
        <v>59</v>
      </c>
      <c r="K33" s="44" t="s">
        <v>11</v>
      </c>
      <c r="L33" s="47">
        <v>48</v>
      </c>
      <c r="M33" s="45"/>
      <c r="N33" s="45"/>
      <c r="O33" s="67"/>
    </row>
    <row r="34" spans="2:15" s="2" customFormat="1" ht="17.25" customHeight="1" outlineLevel="1" x14ac:dyDescent="0.25">
      <c r="B34" s="56"/>
      <c r="C34" s="68"/>
      <c r="D34" s="84"/>
      <c r="E34" s="57"/>
      <c r="F34" s="57"/>
      <c r="G34" s="57"/>
      <c r="H34" s="58"/>
      <c r="I34" s="42" t="s">
        <v>260</v>
      </c>
      <c r="J34" s="60" t="s">
        <v>60</v>
      </c>
      <c r="K34" s="61" t="s">
        <v>11</v>
      </c>
      <c r="L34" s="69">
        <f>L33</f>
        <v>48</v>
      </c>
      <c r="M34" s="62"/>
      <c r="N34" s="62"/>
      <c r="O34" s="63"/>
    </row>
    <row r="35" spans="2:15" s="2" customFormat="1" outlineLevel="1" x14ac:dyDescent="0.25">
      <c r="B35" s="89">
        <f>B28+1</f>
        <v>18</v>
      </c>
      <c r="C35" s="68" t="s">
        <v>16</v>
      </c>
      <c r="D35" s="70" t="s">
        <v>21</v>
      </c>
      <c r="E35" s="71">
        <f>2*3.35*2</f>
        <v>13.4</v>
      </c>
      <c r="F35" s="71"/>
      <c r="G35" s="71"/>
      <c r="H35" s="72"/>
      <c r="I35" s="73" t="s">
        <v>71</v>
      </c>
      <c r="J35" s="74" t="s">
        <v>66</v>
      </c>
      <c r="K35" s="75" t="s">
        <v>11</v>
      </c>
      <c r="L35" s="79">
        <f>(E35*3*0.14)/10</f>
        <v>0.56280000000000008</v>
      </c>
      <c r="M35" s="77"/>
      <c r="N35" s="77"/>
      <c r="O35" s="88"/>
    </row>
    <row r="36" spans="2:15" s="2" customFormat="1" ht="25.5" outlineLevel="1" x14ac:dyDescent="0.25">
      <c r="B36" s="89">
        <f t="shared" si="2"/>
        <v>19</v>
      </c>
      <c r="C36" s="68" t="s">
        <v>38</v>
      </c>
      <c r="D36" s="70" t="s">
        <v>21</v>
      </c>
      <c r="E36" s="71">
        <f>2*3.35*2</f>
        <v>13.4</v>
      </c>
      <c r="F36" s="71"/>
      <c r="G36" s="71"/>
      <c r="H36" s="72"/>
      <c r="I36" s="73" t="s">
        <v>72</v>
      </c>
      <c r="J36" s="74" t="s">
        <v>68</v>
      </c>
      <c r="K36" s="75" t="s">
        <v>11</v>
      </c>
      <c r="L36" s="79">
        <f>E36/9</f>
        <v>1.4888888888888889</v>
      </c>
      <c r="M36" s="77"/>
      <c r="N36" s="77"/>
      <c r="O36" s="88"/>
    </row>
    <row r="37" spans="2:15" s="2" customFormat="1" outlineLevel="1" x14ac:dyDescent="0.25">
      <c r="B37" s="89">
        <f t="shared" si="2"/>
        <v>20</v>
      </c>
      <c r="C37" s="68" t="s">
        <v>18</v>
      </c>
      <c r="D37" s="70" t="s">
        <v>21</v>
      </c>
      <c r="E37" s="71">
        <f>2*3.35*2</f>
        <v>13.4</v>
      </c>
      <c r="F37" s="71"/>
      <c r="G37" s="71"/>
      <c r="H37" s="72"/>
      <c r="I37" s="73"/>
      <c r="J37" s="74"/>
      <c r="K37" s="75"/>
      <c r="L37" s="77"/>
      <c r="M37" s="77"/>
      <c r="N37" s="77"/>
      <c r="O37" s="88"/>
    </row>
    <row r="38" spans="2:15" s="2" customFormat="1" outlineLevel="1" x14ac:dyDescent="0.25">
      <c r="B38" s="89">
        <f t="shared" si="2"/>
        <v>21</v>
      </c>
      <c r="C38" s="68" t="s">
        <v>19</v>
      </c>
      <c r="D38" s="70" t="s">
        <v>21</v>
      </c>
      <c r="E38" s="71">
        <f>2*3.35*2</f>
        <v>13.4</v>
      </c>
      <c r="F38" s="71"/>
      <c r="G38" s="71"/>
      <c r="H38" s="72"/>
      <c r="I38" s="73" t="s">
        <v>74</v>
      </c>
      <c r="J38" s="74" t="s">
        <v>70</v>
      </c>
      <c r="K38" s="75" t="s">
        <v>11</v>
      </c>
      <c r="L38" s="77">
        <f>(E38*2)/65</f>
        <v>0.41230769230769232</v>
      </c>
      <c r="M38" s="77"/>
      <c r="N38" s="77"/>
      <c r="O38" s="88"/>
    </row>
    <row r="39" spans="2:15" s="2" customFormat="1" outlineLevel="1" x14ac:dyDescent="0.25">
      <c r="B39" s="89">
        <f t="shared" si="2"/>
        <v>22</v>
      </c>
      <c r="C39" s="68" t="s">
        <v>15</v>
      </c>
      <c r="D39" s="70" t="s">
        <v>21</v>
      </c>
      <c r="E39" s="71">
        <f>2.4+1.6+2.4+2.4+1.8+2.4+2.3+1.6+2.3+2.1+0.9+2.1</f>
        <v>24.300000000000004</v>
      </c>
      <c r="F39" s="71"/>
      <c r="G39" s="71"/>
      <c r="H39" s="72"/>
      <c r="I39" s="73" t="s">
        <v>77</v>
      </c>
      <c r="J39" s="74" t="s">
        <v>65</v>
      </c>
      <c r="K39" s="75" t="s">
        <v>11</v>
      </c>
      <c r="L39" s="76">
        <f>(E39*8.5*1.2)/30</f>
        <v>8.2620000000000022</v>
      </c>
      <c r="M39" s="77"/>
      <c r="N39" s="77"/>
      <c r="O39" s="88"/>
    </row>
    <row r="40" spans="2:15" s="2" customFormat="1" outlineLevel="1" x14ac:dyDescent="0.25">
      <c r="B40" s="89">
        <f t="shared" si="2"/>
        <v>23</v>
      </c>
      <c r="C40" s="68" t="s">
        <v>16</v>
      </c>
      <c r="D40" s="70" t="s">
        <v>21</v>
      </c>
      <c r="E40" s="71">
        <f>2.4+1.6+2.4+2.4+1.8+2.4+2.3+1.6+2.3+2.1+0.9+2.1</f>
        <v>24.300000000000004</v>
      </c>
      <c r="F40" s="71"/>
      <c r="G40" s="71"/>
      <c r="H40" s="72"/>
      <c r="I40" s="73" t="s">
        <v>78</v>
      </c>
      <c r="J40" s="74" t="s">
        <v>66</v>
      </c>
      <c r="K40" s="75" t="s">
        <v>11</v>
      </c>
      <c r="L40" s="79">
        <f>(E40*3*0.14)/10</f>
        <v>1.0206000000000002</v>
      </c>
      <c r="M40" s="77"/>
      <c r="N40" s="77"/>
      <c r="O40" s="88"/>
    </row>
    <row r="41" spans="2:15" s="2" customFormat="1" ht="25.5" outlineLevel="1" x14ac:dyDescent="0.25">
      <c r="B41" s="89">
        <f t="shared" si="2"/>
        <v>24</v>
      </c>
      <c r="C41" s="68" t="s">
        <v>38</v>
      </c>
      <c r="D41" s="70" t="s">
        <v>21</v>
      </c>
      <c r="E41" s="71">
        <f t="shared" ref="E41:E43" si="3">2.4+1.6+2.4+2.4+1.8+2.4+2.3+1.6+2.3+2.1+0.9+2.1</f>
        <v>24.300000000000004</v>
      </c>
      <c r="F41" s="71"/>
      <c r="G41" s="71"/>
      <c r="H41" s="72"/>
      <c r="I41" s="73" t="s">
        <v>139</v>
      </c>
      <c r="J41" s="74" t="s">
        <v>68</v>
      </c>
      <c r="K41" s="75" t="s">
        <v>11</v>
      </c>
      <c r="L41" s="77">
        <f>E41/9</f>
        <v>2.7000000000000006</v>
      </c>
      <c r="M41" s="77"/>
      <c r="N41" s="77"/>
      <c r="O41" s="88"/>
    </row>
    <row r="42" spans="2:15" s="2" customFormat="1" outlineLevel="1" x14ac:dyDescent="0.25">
      <c r="B42" s="89">
        <f t="shared" si="2"/>
        <v>25</v>
      </c>
      <c r="C42" s="68" t="s">
        <v>18</v>
      </c>
      <c r="D42" s="70" t="s">
        <v>21</v>
      </c>
      <c r="E42" s="71">
        <f t="shared" si="3"/>
        <v>24.300000000000004</v>
      </c>
      <c r="F42" s="71"/>
      <c r="G42" s="71"/>
      <c r="H42" s="72"/>
      <c r="I42" s="73"/>
      <c r="J42" s="74"/>
      <c r="K42" s="75"/>
      <c r="L42" s="77"/>
      <c r="M42" s="77"/>
      <c r="N42" s="77"/>
      <c r="O42" s="88"/>
    </row>
    <row r="43" spans="2:15" s="2" customFormat="1" outlineLevel="1" x14ac:dyDescent="0.25">
      <c r="B43" s="89">
        <f t="shared" si="2"/>
        <v>26</v>
      </c>
      <c r="C43" s="68" t="s">
        <v>19</v>
      </c>
      <c r="D43" s="70" t="s">
        <v>21</v>
      </c>
      <c r="E43" s="71">
        <f t="shared" si="3"/>
        <v>24.300000000000004</v>
      </c>
      <c r="F43" s="71"/>
      <c r="G43" s="71"/>
      <c r="H43" s="72"/>
      <c r="I43" s="73" t="s">
        <v>261</v>
      </c>
      <c r="J43" s="74" t="s">
        <v>70</v>
      </c>
      <c r="K43" s="75" t="s">
        <v>11</v>
      </c>
      <c r="L43" s="77">
        <f>(E43*2)/65</f>
        <v>0.74769230769230788</v>
      </c>
      <c r="M43" s="77"/>
      <c r="N43" s="77"/>
      <c r="O43" s="88"/>
    </row>
    <row r="44" spans="2:15" s="2" customFormat="1" outlineLevel="1" x14ac:dyDescent="0.25">
      <c r="B44" s="89">
        <f t="shared" si="2"/>
        <v>27</v>
      </c>
      <c r="C44" s="68" t="s">
        <v>22</v>
      </c>
      <c r="D44" s="70" t="s">
        <v>11</v>
      </c>
      <c r="E44" s="71">
        <v>1</v>
      </c>
      <c r="F44" s="71"/>
      <c r="G44" s="71"/>
      <c r="H44" s="72"/>
      <c r="I44" s="73" t="s">
        <v>262</v>
      </c>
      <c r="J44" s="74" t="s">
        <v>82</v>
      </c>
      <c r="K44" s="75" t="s">
        <v>11</v>
      </c>
      <c r="L44" s="77">
        <v>2</v>
      </c>
      <c r="M44" s="77"/>
      <c r="N44" s="77"/>
      <c r="O44" s="88"/>
    </row>
    <row r="45" spans="2:15" s="2" customFormat="1" ht="25.5" outlineLevel="1" x14ac:dyDescent="0.25">
      <c r="B45" s="89">
        <f t="shared" si="2"/>
        <v>28</v>
      </c>
      <c r="C45" s="68" t="s">
        <v>23</v>
      </c>
      <c r="D45" s="70" t="s">
        <v>10</v>
      </c>
      <c r="E45" s="71">
        <f>8.29+8.42+11.84+12.03</f>
        <v>40.58</v>
      </c>
      <c r="F45" s="71"/>
      <c r="G45" s="71"/>
      <c r="H45" s="72"/>
      <c r="I45" s="73" t="s">
        <v>79</v>
      </c>
      <c r="J45" s="74" t="s">
        <v>211</v>
      </c>
      <c r="K45" s="75" t="s">
        <v>10</v>
      </c>
      <c r="L45" s="77">
        <v>42</v>
      </c>
      <c r="M45" s="77"/>
      <c r="N45" s="77"/>
      <c r="O45" s="88"/>
    </row>
    <row r="46" spans="2:15" s="2" customFormat="1" ht="25.5" outlineLevel="1" x14ac:dyDescent="0.25">
      <c r="B46" s="89">
        <f t="shared" si="2"/>
        <v>29</v>
      </c>
      <c r="C46" s="68" t="s">
        <v>53</v>
      </c>
      <c r="D46" s="70" t="s">
        <v>11</v>
      </c>
      <c r="E46" s="71">
        <v>9</v>
      </c>
      <c r="F46" s="71"/>
      <c r="G46" s="71"/>
      <c r="H46" s="72"/>
      <c r="I46" s="73" t="s">
        <v>140</v>
      </c>
      <c r="J46" s="74" t="s">
        <v>161</v>
      </c>
      <c r="K46" s="75" t="s">
        <v>11</v>
      </c>
      <c r="L46" s="77">
        <v>10</v>
      </c>
      <c r="M46" s="77"/>
      <c r="N46" s="77"/>
      <c r="O46" s="88"/>
    </row>
    <row r="47" spans="2:15" s="2" customFormat="1" outlineLevel="1" x14ac:dyDescent="0.25">
      <c r="B47" s="89">
        <f t="shared" si="2"/>
        <v>30</v>
      </c>
      <c r="C47" s="68" t="s">
        <v>24</v>
      </c>
      <c r="D47" s="70" t="s">
        <v>10</v>
      </c>
      <c r="E47" s="71">
        <f>11.84+12.03+8.29+8.42</f>
        <v>40.58</v>
      </c>
      <c r="F47" s="71"/>
      <c r="G47" s="71"/>
      <c r="H47" s="72"/>
      <c r="I47" s="73"/>
      <c r="J47" s="74"/>
      <c r="K47" s="75"/>
      <c r="L47" s="77"/>
      <c r="M47" s="77"/>
      <c r="N47" s="77"/>
      <c r="O47" s="88"/>
    </row>
    <row r="48" spans="2:15" s="2" customFormat="1" outlineLevel="1" x14ac:dyDescent="0.25">
      <c r="B48" s="89">
        <f t="shared" si="2"/>
        <v>31</v>
      </c>
      <c r="C48" s="68" t="s">
        <v>212</v>
      </c>
      <c r="D48" s="70" t="s">
        <v>10</v>
      </c>
      <c r="E48" s="71">
        <f>11.84+12.03+8.29+8.42</f>
        <v>40.58</v>
      </c>
      <c r="F48" s="71"/>
      <c r="G48" s="71"/>
      <c r="H48" s="72"/>
      <c r="I48" s="73" t="s">
        <v>83</v>
      </c>
      <c r="J48" s="74" t="s">
        <v>68</v>
      </c>
      <c r="K48" s="75" t="s">
        <v>11</v>
      </c>
      <c r="L48" s="77">
        <f>E48/9</f>
        <v>4.5088888888888885</v>
      </c>
      <c r="M48" s="77"/>
      <c r="N48" s="77"/>
      <c r="O48" s="88"/>
    </row>
    <row r="49" spans="2:15" s="2" customFormat="1" outlineLevel="1" x14ac:dyDescent="0.25">
      <c r="B49" s="89">
        <f t="shared" si="2"/>
        <v>32</v>
      </c>
      <c r="C49" s="68" t="s">
        <v>25</v>
      </c>
      <c r="D49" s="70" t="s">
        <v>10</v>
      </c>
      <c r="E49" s="71">
        <f>11.84+12.03+8.29+8.42</f>
        <v>40.58</v>
      </c>
      <c r="F49" s="71"/>
      <c r="G49" s="71"/>
      <c r="H49" s="72"/>
      <c r="I49" s="73" t="s">
        <v>263</v>
      </c>
      <c r="J49" s="74" t="s">
        <v>66</v>
      </c>
      <c r="K49" s="75" t="s">
        <v>11</v>
      </c>
      <c r="L49" s="79">
        <f>(E49*3*0.14)/10</f>
        <v>1.7043600000000001</v>
      </c>
      <c r="M49" s="77"/>
      <c r="N49" s="77"/>
      <c r="O49" s="88"/>
    </row>
    <row r="50" spans="2:15" s="2" customFormat="1" outlineLevel="1" x14ac:dyDescent="0.25">
      <c r="B50" s="89">
        <f t="shared" si="2"/>
        <v>33</v>
      </c>
      <c r="C50" s="68" t="s">
        <v>213</v>
      </c>
      <c r="D50" s="70" t="s">
        <v>10</v>
      </c>
      <c r="E50" s="71">
        <f>11.84+12.03+8.29+8.42</f>
        <v>40.58</v>
      </c>
      <c r="F50" s="71"/>
      <c r="G50" s="71"/>
      <c r="H50" s="72"/>
      <c r="I50" s="73" t="s">
        <v>264</v>
      </c>
      <c r="J50" s="74" t="s">
        <v>70</v>
      </c>
      <c r="K50" s="75" t="s">
        <v>11</v>
      </c>
      <c r="L50" s="77">
        <f>(E50*2)/65</f>
        <v>1.2486153846153845</v>
      </c>
      <c r="M50" s="77"/>
      <c r="N50" s="77"/>
      <c r="O50" s="88"/>
    </row>
    <row r="51" spans="2:15" s="2" customFormat="1" ht="24.75" customHeight="1" outlineLevel="1" x14ac:dyDescent="0.25">
      <c r="B51" s="89">
        <f t="shared" si="2"/>
        <v>34</v>
      </c>
      <c r="C51" s="68" t="s">
        <v>162</v>
      </c>
      <c r="D51" s="70" t="s">
        <v>11</v>
      </c>
      <c r="E51" s="71">
        <v>6</v>
      </c>
      <c r="F51" s="71"/>
      <c r="G51" s="71"/>
      <c r="H51" s="72"/>
      <c r="I51" s="73" t="s">
        <v>141</v>
      </c>
      <c r="J51" s="74" t="s">
        <v>163</v>
      </c>
      <c r="K51" s="75" t="s">
        <v>11</v>
      </c>
      <c r="L51" s="77">
        <v>8</v>
      </c>
      <c r="M51" s="77"/>
      <c r="N51" s="77"/>
      <c r="O51" s="88"/>
    </row>
    <row r="52" spans="2:15" s="2" customFormat="1" ht="38.25" outlineLevel="1" x14ac:dyDescent="0.25">
      <c r="B52" s="89">
        <f t="shared" si="2"/>
        <v>35</v>
      </c>
      <c r="C52" s="68" t="s">
        <v>214</v>
      </c>
      <c r="D52" s="70" t="s">
        <v>10</v>
      </c>
      <c r="E52" s="71">
        <f>16.71+23.87</f>
        <v>40.58</v>
      </c>
      <c r="F52" s="71"/>
      <c r="G52" s="71"/>
      <c r="H52" s="72"/>
      <c r="I52" s="73" t="s">
        <v>80</v>
      </c>
      <c r="J52" s="74" t="s">
        <v>215</v>
      </c>
      <c r="K52" s="75" t="s">
        <v>12</v>
      </c>
      <c r="L52" s="79">
        <f>E52*0.03</f>
        <v>1.2173999999999998</v>
      </c>
      <c r="M52" s="77"/>
      <c r="N52" s="77"/>
      <c r="O52" s="88"/>
    </row>
    <row r="53" spans="2:15" s="2" customFormat="1" ht="38.25" outlineLevel="1" x14ac:dyDescent="0.25">
      <c r="B53" s="89">
        <f t="shared" si="2"/>
        <v>36</v>
      </c>
      <c r="C53" s="68" t="s">
        <v>219</v>
      </c>
      <c r="D53" s="82" t="s">
        <v>10</v>
      </c>
      <c r="E53" s="49">
        <v>40.58</v>
      </c>
      <c r="F53" s="49"/>
      <c r="G53" s="49"/>
      <c r="H53" s="50"/>
      <c r="I53" s="51" t="s">
        <v>265</v>
      </c>
      <c r="J53" s="52" t="s">
        <v>220</v>
      </c>
      <c r="K53" s="53" t="s">
        <v>12</v>
      </c>
      <c r="L53" s="54">
        <f>E53*0.005</f>
        <v>0.2029</v>
      </c>
      <c r="M53" s="54"/>
      <c r="N53" s="54"/>
      <c r="O53" s="55"/>
    </row>
    <row r="54" spans="2:15" s="2" customFormat="1" ht="25.5" outlineLevel="1" x14ac:dyDescent="0.25">
      <c r="B54" s="89">
        <f t="shared" si="2"/>
        <v>37</v>
      </c>
      <c r="C54" s="68" t="s">
        <v>221</v>
      </c>
      <c r="D54" s="82" t="s">
        <v>10</v>
      </c>
      <c r="E54" s="49">
        <f>11.84+12.03</f>
        <v>23.869999999999997</v>
      </c>
      <c r="F54" s="49"/>
      <c r="G54" s="49"/>
      <c r="H54" s="50"/>
      <c r="I54" s="51" t="s">
        <v>81</v>
      </c>
      <c r="J54" s="52" t="s">
        <v>222</v>
      </c>
      <c r="K54" s="86" t="s">
        <v>223</v>
      </c>
      <c r="L54" s="52">
        <v>5</v>
      </c>
      <c r="M54" s="54"/>
      <c r="N54" s="54"/>
      <c r="O54" s="55"/>
    </row>
    <row r="55" spans="2:15" s="2" customFormat="1" outlineLevel="1" x14ac:dyDescent="0.25">
      <c r="B55" s="48">
        <f t="shared" si="2"/>
        <v>38</v>
      </c>
      <c r="C55" s="46" t="s">
        <v>224</v>
      </c>
      <c r="D55" s="82" t="s">
        <v>225</v>
      </c>
      <c r="E55" s="49">
        <f>3*6+(4.1)*6</f>
        <v>42.599999999999994</v>
      </c>
      <c r="F55" s="49"/>
      <c r="G55" s="49"/>
      <c r="H55" s="50"/>
      <c r="I55" s="51" t="s">
        <v>84</v>
      </c>
      <c r="J55" s="52" t="s">
        <v>226</v>
      </c>
      <c r="K55" s="86" t="s">
        <v>225</v>
      </c>
      <c r="L55" s="52">
        <v>45</v>
      </c>
      <c r="M55" s="54"/>
      <c r="N55" s="54"/>
      <c r="O55" s="55"/>
    </row>
    <row r="56" spans="2:15" s="2" customFormat="1" ht="25.5" outlineLevel="1" x14ac:dyDescent="0.25">
      <c r="B56" s="48">
        <f t="shared" si="2"/>
        <v>39</v>
      </c>
      <c r="C56" s="64" t="s">
        <v>227</v>
      </c>
      <c r="D56" s="82" t="s">
        <v>10</v>
      </c>
      <c r="E56" s="49">
        <f>11.84+12.03</f>
        <v>23.869999999999997</v>
      </c>
      <c r="F56" s="49"/>
      <c r="G56" s="49"/>
      <c r="H56" s="50"/>
      <c r="I56" s="51" t="s">
        <v>266</v>
      </c>
      <c r="J56" s="52" t="s">
        <v>98</v>
      </c>
      <c r="K56" s="53" t="s">
        <v>10</v>
      </c>
      <c r="L56" s="54">
        <f>E56*1.2</f>
        <v>28.643999999999995</v>
      </c>
      <c r="M56" s="54"/>
      <c r="N56" s="54"/>
      <c r="O56" s="55"/>
    </row>
    <row r="57" spans="2:15" s="2" customFormat="1" ht="25.5" outlineLevel="1" x14ac:dyDescent="0.25">
      <c r="B57" s="56"/>
      <c r="C57" s="68"/>
      <c r="D57" s="84"/>
      <c r="E57" s="57"/>
      <c r="F57" s="57"/>
      <c r="G57" s="57"/>
      <c r="H57" s="58"/>
      <c r="I57" s="59" t="s">
        <v>267</v>
      </c>
      <c r="J57" s="60" t="s">
        <v>228</v>
      </c>
      <c r="K57" s="61" t="s">
        <v>86</v>
      </c>
      <c r="L57" s="62">
        <f>L56*0.25</f>
        <v>7.1609999999999987</v>
      </c>
      <c r="M57" s="62"/>
      <c r="N57" s="62"/>
      <c r="O57" s="63"/>
    </row>
    <row r="58" spans="2:15" s="2" customFormat="1" ht="25.5" outlineLevel="1" x14ac:dyDescent="0.25">
      <c r="B58" s="66">
        <v>40</v>
      </c>
      <c r="C58" s="46" t="s">
        <v>229</v>
      </c>
      <c r="D58" s="82" t="s">
        <v>21</v>
      </c>
      <c r="E58" s="49">
        <f>(80+410+600+410+140)*0.01-(0.8+1.6)</f>
        <v>13.999999999999998</v>
      </c>
      <c r="F58" s="49"/>
      <c r="G58" s="41"/>
      <c r="H58" s="50"/>
      <c r="I58" s="42" t="s">
        <v>85</v>
      </c>
      <c r="J58" s="43" t="s">
        <v>230</v>
      </c>
      <c r="K58" s="53" t="s">
        <v>96</v>
      </c>
      <c r="L58" s="54">
        <v>14</v>
      </c>
      <c r="M58" s="45"/>
      <c r="N58" s="45"/>
      <c r="O58" s="67"/>
    </row>
    <row r="59" spans="2:15" s="2" customFormat="1" outlineLevel="1" x14ac:dyDescent="0.25">
      <c r="B59" s="48">
        <f t="shared" si="2"/>
        <v>41</v>
      </c>
      <c r="C59" s="64" t="s">
        <v>231</v>
      </c>
      <c r="D59" s="82" t="s">
        <v>10</v>
      </c>
      <c r="E59" s="49">
        <f>8.29+8.42</f>
        <v>16.71</v>
      </c>
      <c r="F59" s="49"/>
      <c r="G59" s="49"/>
      <c r="H59" s="50"/>
      <c r="I59" s="51" t="s">
        <v>142</v>
      </c>
      <c r="J59" s="52" t="s">
        <v>232</v>
      </c>
      <c r="K59" s="53" t="s">
        <v>10</v>
      </c>
      <c r="L59" s="54">
        <v>17</v>
      </c>
      <c r="M59" s="54"/>
      <c r="N59" s="54"/>
      <c r="O59" s="55"/>
    </row>
    <row r="60" spans="2:15" s="2" customFormat="1" ht="25.5" outlineLevel="1" x14ac:dyDescent="0.25">
      <c r="B60" s="56"/>
      <c r="C60" s="68"/>
      <c r="D60" s="84"/>
      <c r="E60" s="57"/>
      <c r="F60" s="57"/>
      <c r="G60" s="57"/>
      <c r="H60" s="58"/>
      <c r="I60" s="59" t="s">
        <v>268</v>
      </c>
      <c r="J60" s="60" t="s">
        <v>100</v>
      </c>
      <c r="K60" s="61" t="s">
        <v>11</v>
      </c>
      <c r="L60" s="62">
        <f>L59/42</f>
        <v>0.40476190476190477</v>
      </c>
      <c r="M60" s="62"/>
      <c r="N60" s="62"/>
      <c r="O60" s="63"/>
    </row>
    <row r="61" spans="2:15" s="2" customFormat="1" ht="51" outlineLevel="1" x14ac:dyDescent="0.25">
      <c r="B61" s="56">
        <f>B56+1</f>
        <v>40</v>
      </c>
      <c r="C61" s="68" t="s">
        <v>45</v>
      </c>
      <c r="D61" s="84" t="s">
        <v>21</v>
      </c>
      <c r="E61" s="57">
        <f>(2.86*4+2.9*2+2.95*2)-0.8*3-0.9</f>
        <v>19.840000000000003</v>
      </c>
      <c r="F61" s="57"/>
      <c r="G61" s="57"/>
      <c r="H61" s="58"/>
      <c r="I61" s="59" t="s">
        <v>85</v>
      </c>
      <c r="J61" s="60" t="s">
        <v>233</v>
      </c>
      <c r="K61" s="61" t="s">
        <v>96</v>
      </c>
      <c r="L61" s="62">
        <v>20</v>
      </c>
      <c r="M61" s="62"/>
      <c r="N61" s="62"/>
      <c r="O61" s="63"/>
    </row>
    <row r="62" spans="2:15" s="2" customFormat="1" ht="63.75" customHeight="1" outlineLevel="1" x14ac:dyDescent="0.25">
      <c r="B62" s="89">
        <f>B61+1</f>
        <v>41</v>
      </c>
      <c r="C62" s="68" t="s">
        <v>26</v>
      </c>
      <c r="D62" s="70" t="s">
        <v>10</v>
      </c>
      <c r="E62" s="71">
        <f>(3.7+3.3)*2*2.6-2.1*1.6-8.7</f>
        <v>24.34</v>
      </c>
      <c r="F62" s="71"/>
      <c r="G62" s="71"/>
      <c r="H62" s="72"/>
      <c r="I62" s="73" t="s">
        <v>142</v>
      </c>
      <c r="J62" s="74" t="s">
        <v>102</v>
      </c>
      <c r="K62" s="75" t="s">
        <v>10</v>
      </c>
      <c r="L62" s="77">
        <v>24.34</v>
      </c>
      <c r="M62" s="77"/>
      <c r="N62" s="77"/>
      <c r="O62" s="88"/>
    </row>
    <row r="63" spans="2:15" s="2" customFormat="1" ht="25.5" outlineLevel="1" x14ac:dyDescent="0.25">
      <c r="B63" s="89">
        <f t="shared" si="2"/>
        <v>42</v>
      </c>
      <c r="C63" s="68" t="s">
        <v>27</v>
      </c>
      <c r="D63" s="70" t="s">
        <v>10</v>
      </c>
      <c r="E63" s="71">
        <v>11.84</v>
      </c>
      <c r="F63" s="71"/>
      <c r="G63" s="71"/>
      <c r="H63" s="72"/>
      <c r="I63" s="73" t="s">
        <v>99</v>
      </c>
      <c r="J63" s="74" t="s">
        <v>32</v>
      </c>
      <c r="K63" s="75" t="s">
        <v>10</v>
      </c>
      <c r="L63" s="77">
        <v>12</v>
      </c>
      <c r="M63" s="77"/>
      <c r="N63" s="77"/>
      <c r="O63" s="88"/>
    </row>
    <row r="64" spans="2:15" s="2" customFormat="1" ht="51" outlineLevel="1" x14ac:dyDescent="0.25">
      <c r="B64" s="89">
        <f t="shared" si="2"/>
        <v>43</v>
      </c>
      <c r="C64" s="68" t="s">
        <v>28</v>
      </c>
      <c r="D64" s="70" t="s">
        <v>10</v>
      </c>
      <c r="E64" s="71">
        <f>1.6*2.1</f>
        <v>3.3600000000000003</v>
      </c>
      <c r="F64" s="71"/>
      <c r="G64" s="71"/>
      <c r="H64" s="72"/>
      <c r="I64" s="73" t="s">
        <v>97</v>
      </c>
      <c r="J64" s="74" t="s">
        <v>29</v>
      </c>
      <c r="K64" s="75" t="s">
        <v>11</v>
      </c>
      <c r="L64" s="77">
        <v>1</v>
      </c>
      <c r="M64" s="77"/>
      <c r="N64" s="77"/>
      <c r="O64" s="88"/>
    </row>
    <row r="65" spans="1:15" s="2" customFormat="1" ht="63.75" outlineLevel="1" x14ac:dyDescent="0.25">
      <c r="B65" s="89">
        <f t="shared" si="2"/>
        <v>44</v>
      </c>
      <c r="C65" s="68" t="s">
        <v>30</v>
      </c>
      <c r="D65" s="70" t="s">
        <v>10</v>
      </c>
      <c r="E65" s="71">
        <f>(3.3+3.8+0.5+1.1)*1</f>
        <v>8.6999999999999993</v>
      </c>
      <c r="F65" s="71"/>
      <c r="G65" s="71"/>
      <c r="H65" s="72"/>
      <c r="I65" s="73" t="s">
        <v>101</v>
      </c>
      <c r="J65" s="74" t="s">
        <v>31</v>
      </c>
      <c r="K65" s="75" t="s">
        <v>11</v>
      </c>
      <c r="L65" s="77">
        <v>4</v>
      </c>
      <c r="M65" s="77"/>
      <c r="N65" s="77"/>
      <c r="O65" s="88"/>
    </row>
    <row r="66" spans="1:15" s="2" customFormat="1" ht="25.5" outlineLevel="1" x14ac:dyDescent="0.25">
      <c r="B66" s="89">
        <f t="shared" si="2"/>
        <v>45</v>
      </c>
      <c r="C66" s="68" t="s">
        <v>33</v>
      </c>
      <c r="D66" s="70" t="s">
        <v>11</v>
      </c>
      <c r="E66" s="71">
        <v>1</v>
      </c>
      <c r="F66" s="71"/>
      <c r="G66" s="71"/>
      <c r="H66" s="72"/>
      <c r="I66" s="73" t="s">
        <v>90</v>
      </c>
      <c r="J66" s="74" t="s">
        <v>34</v>
      </c>
      <c r="K66" s="75" t="s">
        <v>11</v>
      </c>
      <c r="L66" s="77">
        <v>1</v>
      </c>
      <c r="M66" s="77"/>
      <c r="N66" s="77"/>
      <c r="O66" s="88"/>
    </row>
    <row r="67" spans="1:15" s="2" customFormat="1" ht="51" outlineLevel="1" x14ac:dyDescent="0.25">
      <c r="B67" s="89">
        <f t="shared" si="2"/>
        <v>46</v>
      </c>
      <c r="C67" s="68" t="s">
        <v>36</v>
      </c>
      <c r="D67" s="70" t="s">
        <v>11</v>
      </c>
      <c r="E67" s="71">
        <v>2</v>
      </c>
      <c r="F67" s="71"/>
      <c r="G67" s="71"/>
      <c r="H67" s="72"/>
      <c r="I67" s="73" t="s">
        <v>91</v>
      </c>
      <c r="J67" s="74" t="s">
        <v>37</v>
      </c>
      <c r="K67" s="75" t="s">
        <v>11</v>
      </c>
      <c r="L67" s="77">
        <v>2</v>
      </c>
      <c r="M67" s="77"/>
      <c r="N67" s="77"/>
      <c r="O67" s="88"/>
    </row>
    <row r="68" spans="1:15" s="2" customFormat="1" ht="25.5" outlineLevel="1" x14ac:dyDescent="0.25">
      <c r="B68" s="89">
        <f t="shared" si="2"/>
        <v>47</v>
      </c>
      <c r="C68" s="68" t="s">
        <v>35</v>
      </c>
      <c r="D68" s="70" t="s">
        <v>11</v>
      </c>
      <c r="E68" s="71">
        <v>1</v>
      </c>
      <c r="F68" s="71"/>
      <c r="G68" s="71"/>
      <c r="H68" s="72"/>
      <c r="I68" s="73" t="s">
        <v>92</v>
      </c>
      <c r="J68" s="74" t="s">
        <v>134</v>
      </c>
      <c r="K68" s="75" t="s">
        <v>11</v>
      </c>
      <c r="L68" s="77">
        <v>1</v>
      </c>
      <c r="M68" s="77"/>
      <c r="N68" s="77"/>
      <c r="O68" s="88"/>
    </row>
    <row r="69" spans="1:15" s="2" customFormat="1" ht="25.5" outlineLevel="1" x14ac:dyDescent="0.25">
      <c r="B69" s="89">
        <f t="shared" si="2"/>
        <v>48</v>
      </c>
      <c r="C69" s="68" t="s">
        <v>234</v>
      </c>
      <c r="D69" s="70" t="s">
        <v>11</v>
      </c>
      <c r="E69" s="71">
        <v>12</v>
      </c>
      <c r="F69" s="71"/>
      <c r="G69" s="71"/>
      <c r="H69" s="72"/>
      <c r="I69" s="73" t="s">
        <v>93</v>
      </c>
      <c r="J69" s="74" t="s">
        <v>235</v>
      </c>
      <c r="K69" s="75" t="s">
        <v>11</v>
      </c>
      <c r="L69" s="77">
        <v>12</v>
      </c>
      <c r="M69" s="77"/>
      <c r="N69" s="77"/>
      <c r="O69" s="88"/>
    </row>
    <row r="70" spans="1:15" s="2" customFormat="1" ht="25.5" outlineLevel="1" x14ac:dyDescent="0.25">
      <c r="A70" s="38"/>
      <c r="B70" s="89">
        <f t="shared" si="2"/>
        <v>49</v>
      </c>
      <c r="C70" s="68" t="s">
        <v>162</v>
      </c>
      <c r="D70" s="70" t="s">
        <v>11</v>
      </c>
      <c r="E70" s="71">
        <v>8</v>
      </c>
      <c r="F70" s="71"/>
      <c r="G70" s="71"/>
      <c r="H70" s="72"/>
      <c r="I70" s="73" t="s">
        <v>94</v>
      </c>
      <c r="J70" s="74" t="s">
        <v>236</v>
      </c>
      <c r="K70" s="75" t="s">
        <v>11</v>
      </c>
      <c r="L70" s="77">
        <v>8</v>
      </c>
      <c r="M70" s="77"/>
      <c r="N70" s="77"/>
      <c r="O70" s="88"/>
    </row>
    <row r="71" spans="1:15" s="2" customFormat="1" outlineLevel="1" x14ac:dyDescent="0.25">
      <c r="A71" s="38"/>
      <c r="B71" s="89">
        <f t="shared" si="2"/>
        <v>50</v>
      </c>
      <c r="C71" s="68" t="s">
        <v>40</v>
      </c>
      <c r="D71" s="70" t="s">
        <v>11</v>
      </c>
      <c r="E71" s="71">
        <v>1</v>
      </c>
      <c r="F71" s="71"/>
      <c r="G71" s="71"/>
      <c r="H71" s="72"/>
      <c r="I71" s="73" t="s">
        <v>95</v>
      </c>
      <c r="J71" s="74" t="s">
        <v>42</v>
      </c>
      <c r="K71" s="75" t="s">
        <v>11</v>
      </c>
      <c r="L71" s="77">
        <v>1</v>
      </c>
      <c r="M71" s="77"/>
      <c r="N71" s="77"/>
      <c r="O71" s="88"/>
    </row>
    <row r="72" spans="1:15" s="2" customFormat="1" ht="25.5" outlineLevel="1" x14ac:dyDescent="0.25">
      <c r="A72" s="38"/>
      <c r="B72" s="89">
        <f t="shared" si="2"/>
        <v>51</v>
      </c>
      <c r="C72" s="68" t="s">
        <v>41</v>
      </c>
      <c r="D72" s="70" t="s">
        <v>11</v>
      </c>
      <c r="E72" s="71">
        <v>1</v>
      </c>
      <c r="F72" s="71"/>
      <c r="G72" s="71"/>
      <c r="H72" s="72"/>
      <c r="I72" s="73" t="s">
        <v>87</v>
      </c>
      <c r="J72" s="74" t="s">
        <v>43</v>
      </c>
      <c r="K72" s="75" t="s">
        <v>11</v>
      </c>
      <c r="L72" s="77">
        <v>1</v>
      </c>
      <c r="M72" s="77"/>
      <c r="N72" s="77"/>
      <c r="O72" s="88"/>
    </row>
    <row r="73" spans="1:15" s="2" customFormat="1" ht="25.5" outlineLevel="1" x14ac:dyDescent="0.25">
      <c r="B73" s="89">
        <f t="shared" si="2"/>
        <v>52</v>
      </c>
      <c r="C73" s="68" t="s">
        <v>39</v>
      </c>
      <c r="D73" s="70" t="s">
        <v>10</v>
      </c>
      <c r="E73" s="71">
        <v>1</v>
      </c>
      <c r="F73" s="71"/>
      <c r="G73" s="71"/>
      <c r="H73" s="72"/>
      <c r="I73" s="73" t="s">
        <v>88</v>
      </c>
      <c r="J73" s="74" t="s">
        <v>44</v>
      </c>
      <c r="K73" s="75" t="s">
        <v>10</v>
      </c>
      <c r="L73" s="77">
        <v>1</v>
      </c>
      <c r="M73" s="77"/>
      <c r="N73" s="77"/>
      <c r="O73" s="88"/>
    </row>
    <row r="74" spans="1:15" s="2" customFormat="1" outlineLevel="1" x14ac:dyDescent="0.25">
      <c r="B74" s="89">
        <f t="shared" si="2"/>
        <v>53</v>
      </c>
      <c r="C74" s="68" t="s">
        <v>50</v>
      </c>
      <c r="D74" s="70" t="s">
        <v>51</v>
      </c>
      <c r="E74" s="71">
        <v>2</v>
      </c>
      <c r="F74" s="71"/>
      <c r="G74" s="71">
        <f t="shared" si="0"/>
        <v>0</v>
      </c>
      <c r="H74" s="72"/>
      <c r="I74" s="73"/>
      <c r="J74" s="74"/>
      <c r="K74" s="75"/>
      <c r="L74" s="77"/>
      <c r="M74" s="77"/>
      <c r="N74" s="77"/>
      <c r="O74" s="88"/>
    </row>
    <row r="75" spans="1:15" s="2" customFormat="1" outlineLevel="1" x14ac:dyDescent="0.25">
      <c r="B75" s="89">
        <f t="shared" si="2"/>
        <v>54</v>
      </c>
      <c r="C75" s="68" t="s">
        <v>151</v>
      </c>
      <c r="D75" s="70" t="s">
        <v>103</v>
      </c>
      <c r="E75" s="71">
        <v>60</v>
      </c>
      <c r="F75" s="71"/>
      <c r="G75" s="71"/>
      <c r="H75" s="72"/>
      <c r="I75" s="73" t="s">
        <v>269</v>
      </c>
      <c r="J75" s="74" t="s">
        <v>106</v>
      </c>
      <c r="K75" s="75" t="s">
        <v>103</v>
      </c>
      <c r="L75" s="77">
        <v>60</v>
      </c>
      <c r="M75" s="77"/>
      <c r="N75" s="77"/>
      <c r="O75" s="88"/>
    </row>
    <row r="76" spans="1:15" s="2" customFormat="1" outlineLevel="1" x14ac:dyDescent="0.25">
      <c r="B76" s="89">
        <f t="shared" si="2"/>
        <v>55</v>
      </c>
      <c r="C76" s="68" t="s">
        <v>105</v>
      </c>
      <c r="D76" s="70" t="s">
        <v>103</v>
      </c>
      <c r="E76" s="71">
        <v>50</v>
      </c>
      <c r="F76" s="71"/>
      <c r="G76" s="71"/>
      <c r="H76" s="72"/>
      <c r="I76" s="73" t="s">
        <v>89</v>
      </c>
      <c r="J76" s="74" t="s">
        <v>107</v>
      </c>
      <c r="K76" s="75" t="s">
        <v>103</v>
      </c>
      <c r="L76" s="77">
        <v>50</v>
      </c>
      <c r="M76" s="77"/>
      <c r="N76" s="77"/>
      <c r="O76" s="88"/>
    </row>
    <row r="77" spans="1:15" s="2" customFormat="1" outlineLevel="1" x14ac:dyDescent="0.25">
      <c r="B77" s="89">
        <f t="shared" si="2"/>
        <v>56</v>
      </c>
      <c r="C77" s="68" t="s">
        <v>108</v>
      </c>
      <c r="D77" s="70" t="s">
        <v>11</v>
      </c>
      <c r="E77" s="71">
        <v>1</v>
      </c>
      <c r="F77" s="71"/>
      <c r="G77" s="71"/>
      <c r="H77" s="72"/>
      <c r="I77" s="73" t="s">
        <v>143</v>
      </c>
      <c r="J77" s="74" t="s">
        <v>109</v>
      </c>
      <c r="K77" s="75" t="s">
        <v>11</v>
      </c>
      <c r="L77" s="77">
        <v>1</v>
      </c>
      <c r="M77" s="77"/>
      <c r="N77" s="77"/>
      <c r="O77" s="88"/>
    </row>
    <row r="78" spans="1:15" s="2" customFormat="1" ht="13.5" customHeight="1" outlineLevel="1" x14ac:dyDescent="0.25">
      <c r="B78" s="89">
        <f t="shared" si="2"/>
        <v>57</v>
      </c>
      <c r="C78" s="68" t="s">
        <v>149</v>
      </c>
      <c r="D78" s="70" t="s">
        <v>11</v>
      </c>
      <c r="E78" s="71">
        <v>5</v>
      </c>
      <c r="F78" s="71"/>
      <c r="G78" s="71"/>
      <c r="H78" s="72"/>
      <c r="I78" s="73" t="s">
        <v>104</v>
      </c>
      <c r="J78" s="74" t="s">
        <v>150</v>
      </c>
      <c r="K78" s="75" t="s">
        <v>11</v>
      </c>
      <c r="L78" s="77">
        <v>5</v>
      </c>
      <c r="M78" s="77"/>
      <c r="N78" s="77"/>
      <c r="O78" s="88"/>
    </row>
    <row r="79" spans="1:15" s="2" customFormat="1" outlineLevel="1" x14ac:dyDescent="0.25">
      <c r="B79" s="89">
        <f>B78+1</f>
        <v>58</v>
      </c>
      <c r="C79" s="68" t="s">
        <v>165</v>
      </c>
      <c r="D79" s="70" t="s">
        <v>11</v>
      </c>
      <c r="E79" s="71">
        <v>3</v>
      </c>
      <c r="F79" s="71"/>
      <c r="G79" s="71"/>
      <c r="H79" s="72"/>
      <c r="I79" s="73" t="s">
        <v>110</v>
      </c>
      <c r="J79" s="74" t="s">
        <v>112</v>
      </c>
      <c r="K79" s="75" t="s">
        <v>11</v>
      </c>
      <c r="L79" s="77">
        <v>3</v>
      </c>
      <c r="M79" s="77"/>
      <c r="N79" s="77"/>
      <c r="O79" s="88"/>
    </row>
    <row r="80" spans="1:15" s="2" customFormat="1" outlineLevel="1" x14ac:dyDescent="0.25">
      <c r="B80" s="89">
        <f t="shared" ref="B80:B81" si="4">B79+1</f>
        <v>59</v>
      </c>
      <c r="C80" s="68" t="s">
        <v>165</v>
      </c>
      <c r="D80" s="70" t="s">
        <v>11</v>
      </c>
      <c r="E80" s="71">
        <v>1</v>
      </c>
      <c r="F80" s="71"/>
      <c r="G80" s="71"/>
      <c r="H80" s="72"/>
      <c r="I80" s="73"/>
      <c r="J80" s="74" t="s">
        <v>164</v>
      </c>
      <c r="K80" s="75" t="s">
        <v>11</v>
      </c>
      <c r="L80" s="77">
        <v>1</v>
      </c>
      <c r="M80" s="77"/>
      <c r="N80" s="77"/>
      <c r="O80" s="88"/>
    </row>
    <row r="81" spans="2:15" s="2" customFormat="1" ht="25.5" outlineLevel="1" x14ac:dyDescent="0.25">
      <c r="B81" s="89">
        <f t="shared" si="4"/>
        <v>60</v>
      </c>
      <c r="C81" s="68" t="s">
        <v>171</v>
      </c>
      <c r="D81" s="70" t="s">
        <v>11</v>
      </c>
      <c r="E81" s="71">
        <v>1</v>
      </c>
      <c r="F81" s="71"/>
      <c r="G81" s="71"/>
      <c r="H81" s="72"/>
      <c r="I81" s="73" t="s">
        <v>111</v>
      </c>
      <c r="J81" s="74" t="s">
        <v>170</v>
      </c>
      <c r="K81" s="75" t="s">
        <v>11</v>
      </c>
      <c r="L81" s="77">
        <v>1</v>
      </c>
      <c r="M81" s="77"/>
      <c r="N81" s="77"/>
      <c r="O81" s="88"/>
    </row>
    <row r="82" spans="2:15" s="2" customFormat="1" ht="25.5" outlineLevel="1" x14ac:dyDescent="0.25">
      <c r="B82" s="89">
        <f t="shared" si="2"/>
        <v>61</v>
      </c>
      <c r="C82" s="68" t="s">
        <v>166</v>
      </c>
      <c r="D82" s="70" t="s">
        <v>11</v>
      </c>
      <c r="E82" s="71">
        <v>2</v>
      </c>
      <c r="F82" s="71"/>
      <c r="G82" s="71"/>
      <c r="H82" s="72"/>
      <c r="I82" s="73" t="s">
        <v>121</v>
      </c>
      <c r="J82" s="74" t="s">
        <v>168</v>
      </c>
      <c r="K82" s="75" t="s">
        <v>11</v>
      </c>
      <c r="L82" s="77">
        <v>2</v>
      </c>
      <c r="M82" s="77"/>
      <c r="N82" s="77"/>
      <c r="O82" s="88"/>
    </row>
    <row r="83" spans="2:15" s="2" customFormat="1" ht="25.5" outlineLevel="1" x14ac:dyDescent="0.25">
      <c r="B83" s="89">
        <f t="shared" si="2"/>
        <v>62</v>
      </c>
      <c r="C83" s="68" t="s">
        <v>167</v>
      </c>
      <c r="D83" s="70" t="s">
        <v>11</v>
      </c>
      <c r="E83" s="71">
        <v>1</v>
      </c>
      <c r="F83" s="71"/>
      <c r="G83" s="71"/>
      <c r="H83" s="72"/>
      <c r="I83" s="73" t="s">
        <v>122</v>
      </c>
      <c r="J83" s="74" t="s">
        <v>169</v>
      </c>
      <c r="K83" s="75" t="s">
        <v>11</v>
      </c>
      <c r="L83" s="77">
        <v>1</v>
      </c>
      <c r="M83" s="77"/>
      <c r="N83" s="77"/>
      <c r="O83" s="88"/>
    </row>
    <row r="84" spans="2:15" s="2" customFormat="1" outlineLevel="1" x14ac:dyDescent="0.25">
      <c r="B84" s="48">
        <f t="shared" si="2"/>
        <v>63</v>
      </c>
      <c r="C84" s="46" t="s">
        <v>172</v>
      </c>
      <c r="D84" s="82" t="s">
        <v>11</v>
      </c>
      <c r="E84" s="49">
        <v>1</v>
      </c>
      <c r="F84" s="49"/>
      <c r="G84" s="49"/>
      <c r="H84" s="50"/>
      <c r="I84" s="51" t="s">
        <v>123</v>
      </c>
      <c r="J84" s="52" t="s">
        <v>270</v>
      </c>
      <c r="K84" s="53" t="s">
        <v>11</v>
      </c>
      <c r="L84" s="54">
        <v>1</v>
      </c>
      <c r="M84" s="54"/>
      <c r="N84" s="54"/>
      <c r="O84" s="55"/>
    </row>
    <row r="85" spans="2:15" s="2" customFormat="1" outlineLevel="1" x14ac:dyDescent="0.25">
      <c r="B85" s="48">
        <f t="shared" si="2"/>
        <v>64</v>
      </c>
      <c r="C85" s="64" t="s">
        <v>158</v>
      </c>
      <c r="D85" s="82" t="s">
        <v>103</v>
      </c>
      <c r="E85" s="49">
        <v>100</v>
      </c>
      <c r="F85" s="49"/>
      <c r="G85" s="49"/>
      <c r="H85" s="50"/>
      <c r="I85" s="51" t="s">
        <v>124</v>
      </c>
      <c r="J85" s="52" t="s">
        <v>159</v>
      </c>
      <c r="K85" s="53" t="s">
        <v>103</v>
      </c>
      <c r="L85" s="54">
        <v>100</v>
      </c>
      <c r="M85" s="54"/>
      <c r="N85" s="54"/>
      <c r="O85" s="55"/>
    </row>
    <row r="86" spans="2:15" s="2" customFormat="1" outlineLevel="1" x14ac:dyDescent="0.25">
      <c r="B86" s="56"/>
      <c r="C86" s="68"/>
      <c r="D86" s="84"/>
      <c r="E86" s="57"/>
      <c r="F86" s="57"/>
      <c r="G86" s="57"/>
      <c r="H86" s="58"/>
      <c r="I86" s="59"/>
      <c r="J86" s="60" t="s">
        <v>160</v>
      </c>
      <c r="K86" s="61" t="s">
        <v>11</v>
      </c>
      <c r="L86" s="62">
        <v>100</v>
      </c>
      <c r="M86" s="62"/>
      <c r="N86" s="62"/>
      <c r="O86" s="63"/>
    </row>
    <row r="87" spans="2:15" s="2" customFormat="1" outlineLevel="1" x14ac:dyDescent="0.25">
      <c r="B87" s="56">
        <v>65</v>
      </c>
      <c r="C87" s="68" t="s">
        <v>216</v>
      </c>
      <c r="D87" s="84" t="s">
        <v>208</v>
      </c>
      <c r="E87" s="57">
        <v>4</v>
      </c>
      <c r="F87" s="57"/>
      <c r="G87" s="57"/>
      <c r="H87" s="58"/>
      <c r="I87" s="59" t="s">
        <v>125</v>
      </c>
      <c r="J87" s="60" t="s">
        <v>207</v>
      </c>
      <c r="K87" s="61" t="s">
        <v>208</v>
      </c>
      <c r="L87" s="62">
        <v>4</v>
      </c>
      <c r="M87" s="62"/>
      <c r="N87" s="62"/>
      <c r="O87" s="63"/>
    </row>
    <row r="88" spans="2:15" s="2" customFormat="1" outlineLevel="1" x14ac:dyDescent="0.25">
      <c r="B88" s="89">
        <f>66</f>
        <v>66</v>
      </c>
      <c r="C88" s="68" t="s">
        <v>152</v>
      </c>
      <c r="D88" s="70" t="s">
        <v>103</v>
      </c>
      <c r="E88" s="71">
        <v>100</v>
      </c>
      <c r="F88" s="71"/>
      <c r="G88" s="71"/>
      <c r="H88" s="72"/>
      <c r="I88" s="73" t="s">
        <v>126</v>
      </c>
      <c r="J88" s="74" t="s">
        <v>153</v>
      </c>
      <c r="K88" s="75" t="s">
        <v>103</v>
      </c>
      <c r="L88" s="77">
        <v>100</v>
      </c>
      <c r="M88" s="77"/>
      <c r="N88" s="77"/>
      <c r="O88" s="88"/>
    </row>
    <row r="89" spans="2:15" s="2" customFormat="1" outlineLevel="1" x14ac:dyDescent="0.25">
      <c r="B89" s="89">
        <f>B88+1</f>
        <v>67</v>
      </c>
      <c r="C89" s="68" t="s">
        <v>154</v>
      </c>
      <c r="D89" s="70" t="s">
        <v>103</v>
      </c>
      <c r="E89" s="71">
        <v>10</v>
      </c>
      <c r="F89" s="71"/>
      <c r="G89" s="71"/>
      <c r="H89" s="72"/>
      <c r="I89" s="73" t="s">
        <v>127</v>
      </c>
      <c r="J89" s="74" t="s">
        <v>155</v>
      </c>
      <c r="K89" s="75" t="s">
        <v>103</v>
      </c>
      <c r="L89" s="77">
        <v>10</v>
      </c>
      <c r="M89" s="77"/>
      <c r="N89" s="77"/>
      <c r="O89" s="88"/>
    </row>
    <row r="90" spans="2:15" s="2" customFormat="1" outlineLevel="1" x14ac:dyDescent="0.25">
      <c r="B90" s="89">
        <f t="shared" ref="B90:B97" si="5">B89+1</f>
        <v>68</v>
      </c>
      <c r="C90" s="68" t="s">
        <v>156</v>
      </c>
      <c r="D90" s="70" t="s">
        <v>103</v>
      </c>
      <c r="E90" s="71">
        <v>15</v>
      </c>
      <c r="F90" s="71"/>
      <c r="G90" s="71"/>
      <c r="H90" s="72"/>
      <c r="I90" s="73" t="s">
        <v>128</v>
      </c>
      <c r="J90" s="74" t="s">
        <v>157</v>
      </c>
      <c r="K90" s="75" t="s">
        <v>103</v>
      </c>
      <c r="L90" s="77">
        <v>15</v>
      </c>
      <c r="M90" s="77"/>
      <c r="N90" s="77"/>
      <c r="O90" s="88"/>
    </row>
    <row r="91" spans="2:15" s="2" customFormat="1" outlineLevel="1" x14ac:dyDescent="0.25">
      <c r="B91" s="89">
        <f t="shared" si="5"/>
        <v>69</v>
      </c>
      <c r="C91" s="68" t="s">
        <v>217</v>
      </c>
      <c r="D91" s="70" t="s">
        <v>103</v>
      </c>
      <c r="E91" s="71">
        <v>60</v>
      </c>
      <c r="F91" s="71"/>
      <c r="G91" s="71"/>
      <c r="H91" s="72"/>
      <c r="I91" s="73" t="s">
        <v>129</v>
      </c>
      <c r="J91" s="74" t="s">
        <v>218</v>
      </c>
      <c r="K91" s="75" t="s">
        <v>103</v>
      </c>
      <c r="L91" s="77">
        <v>60</v>
      </c>
      <c r="M91" s="77"/>
      <c r="N91" s="77"/>
      <c r="O91" s="88"/>
    </row>
    <row r="92" spans="2:15" s="2" customFormat="1" outlineLevel="1" x14ac:dyDescent="0.25">
      <c r="B92" s="89">
        <f t="shared" si="5"/>
        <v>70</v>
      </c>
      <c r="C92" s="68" t="s">
        <v>173</v>
      </c>
      <c r="D92" s="70" t="s">
        <v>103</v>
      </c>
      <c r="E92" s="71">
        <v>20</v>
      </c>
      <c r="F92" s="71"/>
      <c r="G92" s="71"/>
      <c r="H92" s="72"/>
      <c r="I92" s="73" t="s">
        <v>130</v>
      </c>
      <c r="J92" s="74" t="s">
        <v>174</v>
      </c>
      <c r="K92" s="75" t="s">
        <v>103</v>
      </c>
      <c r="L92" s="77">
        <v>20</v>
      </c>
      <c r="M92" s="77"/>
      <c r="N92" s="77"/>
      <c r="O92" s="88"/>
    </row>
    <row r="93" spans="2:15" s="2" customFormat="1" outlineLevel="1" x14ac:dyDescent="0.25">
      <c r="B93" s="89">
        <f t="shared" si="5"/>
        <v>71</v>
      </c>
      <c r="C93" s="68" t="s">
        <v>175</v>
      </c>
      <c r="D93" s="70" t="s">
        <v>103</v>
      </c>
      <c r="E93" s="71">
        <v>10</v>
      </c>
      <c r="F93" s="71"/>
      <c r="G93" s="71"/>
      <c r="H93" s="72"/>
      <c r="I93" s="73" t="s">
        <v>131</v>
      </c>
      <c r="J93" s="74" t="s">
        <v>176</v>
      </c>
      <c r="K93" s="75" t="s">
        <v>103</v>
      </c>
      <c r="L93" s="77">
        <v>10</v>
      </c>
      <c r="M93" s="77"/>
      <c r="N93" s="77"/>
      <c r="O93" s="88"/>
    </row>
    <row r="94" spans="2:15" s="2" customFormat="1" ht="25.5" outlineLevel="1" x14ac:dyDescent="0.25">
      <c r="B94" s="89">
        <f t="shared" si="5"/>
        <v>72</v>
      </c>
      <c r="C94" s="68" t="s">
        <v>209</v>
      </c>
      <c r="D94" s="70" t="s">
        <v>11</v>
      </c>
      <c r="E94" s="71">
        <v>1</v>
      </c>
      <c r="F94" s="71"/>
      <c r="G94" s="71"/>
      <c r="H94" s="72"/>
      <c r="I94" s="73" t="s">
        <v>132</v>
      </c>
      <c r="J94" s="74" t="s">
        <v>210</v>
      </c>
      <c r="K94" s="75" t="s">
        <v>11</v>
      </c>
      <c r="L94" s="77">
        <v>1</v>
      </c>
      <c r="M94" s="77"/>
      <c r="N94" s="77"/>
      <c r="O94" s="88"/>
    </row>
    <row r="95" spans="2:15" s="2" customFormat="1" outlineLevel="1" x14ac:dyDescent="0.25">
      <c r="B95" s="89">
        <f t="shared" si="5"/>
        <v>73</v>
      </c>
      <c r="C95" s="68" t="s">
        <v>181</v>
      </c>
      <c r="D95" s="70" t="s">
        <v>11</v>
      </c>
      <c r="E95" s="71">
        <v>1</v>
      </c>
      <c r="F95" s="71"/>
      <c r="G95" s="71"/>
      <c r="H95" s="72"/>
      <c r="I95" s="73" t="s">
        <v>133</v>
      </c>
      <c r="J95" s="74" t="s">
        <v>182</v>
      </c>
      <c r="K95" s="75" t="s">
        <v>11</v>
      </c>
      <c r="L95" s="77">
        <v>1</v>
      </c>
      <c r="M95" s="77"/>
      <c r="N95" s="77"/>
      <c r="O95" s="88"/>
    </row>
    <row r="96" spans="2:15" s="2" customFormat="1" outlineLevel="1" x14ac:dyDescent="0.25">
      <c r="B96" s="89">
        <f t="shared" si="5"/>
        <v>74</v>
      </c>
      <c r="C96" s="68" t="s">
        <v>183</v>
      </c>
      <c r="D96" s="70" t="s">
        <v>11</v>
      </c>
      <c r="E96" s="71">
        <v>2</v>
      </c>
      <c r="F96" s="71"/>
      <c r="G96" s="71"/>
      <c r="H96" s="72"/>
      <c r="I96" s="73" t="s">
        <v>271</v>
      </c>
      <c r="J96" s="74" t="s">
        <v>184</v>
      </c>
      <c r="K96" s="75" t="s">
        <v>11</v>
      </c>
      <c r="L96" s="77">
        <v>2</v>
      </c>
      <c r="M96" s="77"/>
      <c r="N96" s="77"/>
      <c r="O96" s="88"/>
    </row>
    <row r="97" spans="2:15" s="2" customFormat="1" outlineLevel="1" x14ac:dyDescent="0.25">
      <c r="B97" s="89">
        <f t="shared" si="5"/>
        <v>75</v>
      </c>
      <c r="C97" s="68" t="s">
        <v>179</v>
      </c>
      <c r="D97" s="70" t="s">
        <v>11</v>
      </c>
      <c r="E97" s="71">
        <v>1</v>
      </c>
      <c r="F97" s="71"/>
      <c r="G97" s="71"/>
      <c r="H97" s="72"/>
      <c r="I97" s="73" t="s">
        <v>272</v>
      </c>
      <c r="J97" s="74" t="s">
        <v>180</v>
      </c>
      <c r="K97" s="75" t="s">
        <v>11</v>
      </c>
      <c r="L97" s="77">
        <v>1</v>
      </c>
      <c r="M97" s="77"/>
      <c r="N97" s="77"/>
      <c r="O97" s="88"/>
    </row>
    <row r="98" spans="2:15" s="2" customFormat="1" outlineLevel="1" x14ac:dyDescent="0.25">
      <c r="B98" s="89">
        <f t="shared" si="2"/>
        <v>76</v>
      </c>
      <c r="C98" s="68" t="s">
        <v>177</v>
      </c>
      <c r="D98" s="70" t="s">
        <v>11</v>
      </c>
      <c r="E98" s="71">
        <v>9</v>
      </c>
      <c r="F98" s="71"/>
      <c r="G98" s="71"/>
      <c r="H98" s="72"/>
      <c r="I98" s="73" t="s">
        <v>238</v>
      </c>
      <c r="J98" s="74" t="s">
        <v>178</v>
      </c>
      <c r="K98" s="75" t="s">
        <v>11</v>
      </c>
      <c r="L98" s="77">
        <v>9</v>
      </c>
      <c r="M98" s="77"/>
      <c r="N98" s="77"/>
      <c r="O98" s="88"/>
    </row>
    <row r="99" spans="2:15" s="2" customFormat="1" outlineLevel="1" x14ac:dyDescent="0.25">
      <c r="B99" s="89">
        <f t="shared" si="2"/>
        <v>77</v>
      </c>
      <c r="C99" s="68" t="s">
        <v>113</v>
      </c>
      <c r="D99" s="70" t="s">
        <v>11</v>
      </c>
      <c r="E99" s="71">
        <v>3</v>
      </c>
      <c r="F99" s="71"/>
      <c r="G99" s="71"/>
      <c r="H99" s="72"/>
      <c r="I99" s="73" t="s">
        <v>273</v>
      </c>
      <c r="J99" s="74" t="s">
        <v>116</v>
      </c>
      <c r="K99" s="75" t="s">
        <v>11</v>
      </c>
      <c r="L99" s="77">
        <v>3</v>
      </c>
      <c r="M99" s="77"/>
      <c r="N99" s="77"/>
      <c r="O99" s="88"/>
    </row>
    <row r="100" spans="2:15" s="2" customFormat="1" outlineLevel="1" x14ac:dyDescent="0.25">
      <c r="B100" s="89">
        <f t="shared" ref="B100" si="6">B99+1</f>
        <v>78</v>
      </c>
      <c r="C100" s="68" t="s">
        <v>185</v>
      </c>
      <c r="D100" s="70" t="s">
        <v>103</v>
      </c>
      <c r="E100" s="71">
        <v>3</v>
      </c>
      <c r="F100" s="71"/>
      <c r="G100" s="71"/>
      <c r="H100" s="72"/>
      <c r="I100" s="73" t="s">
        <v>274</v>
      </c>
      <c r="J100" s="74" t="s">
        <v>186</v>
      </c>
      <c r="K100" s="75" t="s">
        <v>103</v>
      </c>
      <c r="L100" s="77">
        <v>3</v>
      </c>
      <c r="M100" s="77"/>
      <c r="N100" s="77"/>
      <c r="O100" s="88"/>
    </row>
    <row r="101" spans="2:15" s="2" customFormat="1" ht="21" customHeight="1" outlineLevel="1" x14ac:dyDescent="0.25">
      <c r="B101" s="48">
        <v>79</v>
      </c>
      <c r="C101" s="68" t="s">
        <v>187</v>
      </c>
      <c r="D101" s="82" t="s">
        <v>103</v>
      </c>
      <c r="E101" s="49">
        <v>3</v>
      </c>
      <c r="F101" s="49"/>
      <c r="G101" s="49"/>
      <c r="H101" s="50"/>
      <c r="I101" s="51" t="s">
        <v>275</v>
      </c>
      <c r="J101" s="52" t="s">
        <v>188</v>
      </c>
      <c r="K101" s="53" t="s">
        <v>103</v>
      </c>
      <c r="L101" s="54">
        <v>3</v>
      </c>
      <c r="M101" s="54"/>
      <c r="N101" s="54"/>
      <c r="O101" s="55"/>
    </row>
    <row r="102" spans="2:15" s="2" customFormat="1" ht="21" customHeight="1" outlineLevel="1" x14ac:dyDescent="0.25">
      <c r="B102" s="48"/>
      <c r="C102" s="68"/>
      <c r="D102" s="82"/>
      <c r="E102" s="49"/>
      <c r="F102" s="49"/>
      <c r="G102" s="49"/>
      <c r="H102" s="50"/>
      <c r="I102" s="51" t="s">
        <v>276</v>
      </c>
      <c r="J102" s="52" t="s">
        <v>189</v>
      </c>
      <c r="K102" s="53" t="s">
        <v>103</v>
      </c>
      <c r="L102" s="54">
        <v>12</v>
      </c>
      <c r="M102" s="54"/>
      <c r="N102" s="54"/>
      <c r="O102" s="55"/>
    </row>
    <row r="103" spans="2:15" s="2" customFormat="1" ht="25.5" outlineLevel="1" x14ac:dyDescent="0.25">
      <c r="B103" s="48">
        <v>80</v>
      </c>
      <c r="C103" s="68" t="s">
        <v>190</v>
      </c>
      <c r="D103" s="82" t="s">
        <v>103</v>
      </c>
      <c r="E103" s="49">
        <v>6</v>
      </c>
      <c r="F103" s="49"/>
      <c r="G103" s="49"/>
      <c r="H103" s="50"/>
      <c r="I103" s="51" t="s">
        <v>277</v>
      </c>
      <c r="J103" s="52" t="s">
        <v>191</v>
      </c>
      <c r="K103" s="53" t="s">
        <v>103</v>
      </c>
      <c r="L103" s="54">
        <v>6</v>
      </c>
      <c r="M103" s="54"/>
      <c r="N103" s="54"/>
      <c r="O103" s="55"/>
    </row>
    <row r="104" spans="2:15" s="2" customFormat="1" ht="25.5" outlineLevel="1" x14ac:dyDescent="0.25">
      <c r="B104" s="48">
        <f>B103+1</f>
        <v>81</v>
      </c>
      <c r="C104" s="68" t="s">
        <v>192</v>
      </c>
      <c r="D104" s="82" t="s">
        <v>11</v>
      </c>
      <c r="E104" s="49">
        <v>8</v>
      </c>
      <c r="F104" s="49"/>
      <c r="G104" s="49"/>
      <c r="H104" s="50"/>
      <c r="I104" s="51" t="s">
        <v>278</v>
      </c>
      <c r="J104" s="52" t="s">
        <v>194</v>
      </c>
      <c r="K104" s="53" t="s">
        <v>11</v>
      </c>
      <c r="L104" s="54">
        <v>8</v>
      </c>
      <c r="M104" s="54"/>
      <c r="N104" s="54"/>
      <c r="O104" s="55"/>
    </row>
    <row r="105" spans="2:15" s="2" customFormat="1" ht="25.5" outlineLevel="1" x14ac:dyDescent="0.25">
      <c r="B105" s="48">
        <f t="shared" ref="B105:B107" si="7">B104+1</f>
        <v>82</v>
      </c>
      <c r="C105" s="68" t="s">
        <v>193</v>
      </c>
      <c r="D105" s="82" t="s">
        <v>11</v>
      </c>
      <c r="E105" s="49">
        <v>2</v>
      </c>
      <c r="F105" s="49"/>
      <c r="G105" s="49"/>
      <c r="H105" s="50"/>
      <c r="I105" s="51" t="s">
        <v>279</v>
      </c>
      <c r="J105" s="52" t="s">
        <v>195</v>
      </c>
      <c r="K105" s="53" t="s">
        <v>11</v>
      </c>
      <c r="L105" s="54">
        <v>2</v>
      </c>
      <c r="M105" s="54"/>
      <c r="N105" s="54"/>
      <c r="O105" s="55"/>
    </row>
    <row r="106" spans="2:15" s="2" customFormat="1" ht="25.5" outlineLevel="1" x14ac:dyDescent="0.25">
      <c r="B106" s="48">
        <f t="shared" si="7"/>
        <v>83</v>
      </c>
      <c r="C106" s="46" t="s">
        <v>196</v>
      </c>
      <c r="D106" s="82" t="s">
        <v>11</v>
      </c>
      <c r="E106" s="49">
        <v>2</v>
      </c>
      <c r="F106" s="49"/>
      <c r="G106" s="49"/>
      <c r="H106" s="50"/>
      <c r="I106" s="51" t="s">
        <v>280</v>
      </c>
      <c r="J106" s="52" t="s">
        <v>197</v>
      </c>
      <c r="K106" s="53" t="s">
        <v>11</v>
      </c>
      <c r="L106" s="54">
        <v>2</v>
      </c>
      <c r="M106" s="54"/>
      <c r="N106" s="54"/>
      <c r="O106" s="55"/>
    </row>
    <row r="107" spans="2:15" s="2" customFormat="1" outlineLevel="1" x14ac:dyDescent="0.25">
      <c r="B107" s="48">
        <f t="shared" si="7"/>
        <v>84</v>
      </c>
      <c r="C107" s="64" t="s">
        <v>114</v>
      </c>
      <c r="D107" s="82" t="s">
        <v>103</v>
      </c>
      <c r="E107" s="49">
        <v>50</v>
      </c>
      <c r="F107" s="49"/>
      <c r="G107" s="49"/>
      <c r="H107" s="50"/>
      <c r="I107" s="51" t="s">
        <v>281</v>
      </c>
      <c r="J107" s="52" t="s">
        <v>117</v>
      </c>
      <c r="K107" s="53" t="s">
        <v>103</v>
      </c>
      <c r="L107" s="54">
        <v>50</v>
      </c>
      <c r="M107" s="54"/>
      <c r="N107" s="54"/>
      <c r="O107" s="55"/>
    </row>
    <row r="108" spans="2:15" s="2" customFormat="1" outlineLevel="1" x14ac:dyDescent="0.25">
      <c r="B108" s="66"/>
      <c r="C108" s="46"/>
      <c r="D108" s="83"/>
      <c r="E108" s="41"/>
      <c r="F108" s="41"/>
      <c r="G108" s="41"/>
      <c r="H108" s="37"/>
      <c r="I108" s="42" t="s">
        <v>282</v>
      </c>
      <c r="J108" s="43" t="s">
        <v>119</v>
      </c>
      <c r="K108" s="44" t="s">
        <v>11</v>
      </c>
      <c r="L108" s="45">
        <v>100</v>
      </c>
      <c r="M108" s="45"/>
      <c r="N108" s="45"/>
      <c r="O108" s="67"/>
    </row>
    <row r="109" spans="2:15" s="2" customFormat="1" outlineLevel="1" x14ac:dyDescent="0.25">
      <c r="B109" s="48">
        <v>85</v>
      </c>
      <c r="C109" s="64" t="s">
        <v>115</v>
      </c>
      <c r="D109" s="82" t="s">
        <v>103</v>
      </c>
      <c r="E109" s="49">
        <v>50</v>
      </c>
      <c r="F109" s="49"/>
      <c r="G109" s="49"/>
      <c r="H109" s="50"/>
      <c r="I109" s="51" t="s">
        <v>132</v>
      </c>
      <c r="J109" s="52" t="s">
        <v>118</v>
      </c>
      <c r="K109" s="53" t="s">
        <v>103</v>
      </c>
      <c r="L109" s="54">
        <v>50</v>
      </c>
      <c r="M109" s="54"/>
      <c r="N109" s="54"/>
      <c r="O109" s="55"/>
    </row>
    <row r="110" spans="2:15" s="2" customFormat="1" outlineLevel="1" x14ac:dyDescent="0.25">
      <c r="B110" s="56"/>
      <c r="C110" s="68"/>
      <c r="D110" s="84"/>
      <c r="E110" s="57"/>
      <c r="F110" s="57"/>
      <c r="G110" s="57"/>
      <c r="H110" s="58"/>
      <c r="I110" s="59" t="s">
        <v>144</v>
      </c>
      <c r="J110" s="60" t="s">
        <v>120</v>
      </c>
      <c r="K110" s="61" t="s">
        <v>11</v>
      </c>
      <c r="L110" s="62">
        <v>100</v>
      </c>
      <c r="M110" s="62"/>
      <c r="N110" s="62"/>
      <c r="O110" s="63"/>
    </row>
    <row r="111" spans="2:15" s="2" customFormat="1" outlineLevel="1" x14ac:dyDescent="0.25">
      <c r="B111" s="48">
        <v>86</v>
      </c>
      <c r="C111" s="64" t="s">
        <v>198</v>
      </c>
      <c r="D111" s="82" t="s">
        <v>103</v>
      </c>
      <c r="E111" s="49">
        <v>60</v>
      </c>
      <c r="F111" s="49"/>
      <c r="G111" s="49"/>
      <c r="H111" s="50"/>
      <c r="I111" s="51" t="s">
        <v>283</v>
      </c>
      <c r="J111" s="52" t="s">
        <v>199</v>
      </c>
      <c r="K111" s="53" t="s">
        <v>103</v>
      </c>
      <c r="L111" s="54">
        <v>60</v>
      </c>
      <c r="M111" s="54"/>
      <c r="N111" s="54"/>
      <c r="O111" s="55"/>
    </row>
    <row r="112" spans="2:15" s="2" customFormat="1" outlineLevel="1" x14ac:dyDescent="0.25">
      <c r="B112" s="48">
        <v>87</v>
      </c>
      <c r="C112" s="64" t="s">
        <v>200</v>
      </c>
      <c r="D112" s="82" t="s">
        <v>103</v>
      </c>
      <c r="E112" s="49">
        <v>60</v>
      </c>
      <c r="F112" s="49"/>
      <c r="G112" s="49"/>
      <c r="H112" s="50"/>
      <c r="I112" s="51" t="s">
        <v>284</v>
      </c>
      <c r="J112" s="52" t="s">
        <v>201</v>
      </c>
      <c r="K112" s="53" t="s">
        <v>103</v>
      </c>
      <c r="L112" s="54">
        <v>60</v>
      </c>
      <c r="M112" s="54"/>
      <c r="N112" s="54"/>
      <c r="O112" s="55"/>
    </row>
    <row r="113" spans="2:15" s="2" customFormat="1" outlineLevel="1" x14ac:dyDescent="0.25">
      <c r="B113" s="66"/>
      <c r="C113" s="46"/>
      <c r="D113" s="83"/>
      <c r="E113" s="41"/>
      <c r="F113" s="41"/>
      <c r="G113" s="41"/>
      <c r="H113" s="37"/>
      <c r="I113" s="42" t="s">
        <v>285</v>
      </c>
      <c r="J113" s="43" t="s">
        <v>202</v>
      </c>
      <c r="K113" s="44" t="s">
        <v>11</v>
      </c>
      <c r="L113" s="45">
        <v>100</v>
      </c>
      <c r="M113" s="45"/>
      <c r="N113" s="45"/>
      <c r="O113" s="67"/>
    </row>
    <row r="114" spans="2:15" s="2" customFormat="1" outlineLevel="1" x14ac:dyDescent="0.25">
      <c r="B114" s="89">
        <v>88</v>
      </c>
      <c r="C114" s="78" t="s">
        <v>203</v>
      </c>
      <c r="D114" s="70" t="s">
        <v>11</v>
      </c>
      <c r="E114" s="71">
        <v>1</v>
      </c>
      <c r="F114" s="71"/>
      <c r="G114" s="71"/>
      <c r="H114" s="72"/>
      <c r="I114" s="73" t="s">
        <v>286</v>
      </c>
      <c r="J114" s="74" t="s">
        <v>205</v>
      </c>
      <c r="K114" s="75" t="s">
        <v>11</v>
      </c>
      <c r="L114" s="77">
        <v>1</v>
      </c>
      <c r="M114" s="77"/>
      <c r="N114" s="77"/>
      <c r="O114" s="88"/>
    </row>
    <row r="115" spans="2:15" s="2" customFormat="1" outlineLevel="1" x14ac:dyDescent="0.25">
      <c r="B115" s="89">
        <v>89</v>
      </c>
      <c r="C115" s="78" t="s">
        <v>204</v>
      </c>
      <c r="D115" s="70" t="s">
        <v>11</v>
      </c>
      <c r="E115" s="71">
        <v>1</v>
      </c>
      <c r="F115" s="71"/>
      <c r="G115" s="71"/>
      <c r="H115" s="72"/>
      <c r="I115" s="73" t="s">
        <v>287</v>
      </c>
      <c r="J115" s="74" t="s">
        <v>206</v>
      </c>
      <c r="K115" s="75" t="s">
        <v>11</v>
      </c>
      <c r="L115" s="77">
        <v>1</v>
      </c>
      <c r="M115" s="77"/>
      <c r="N115" s="77"/>
      <c r="O115" s="88"/>
    </row>
    <row r="116" spans="2:15" s="2" customFormat="1" outlineLevel="1" x14ac:dyDescent="0.25">
      <c r="B116" s="89">
        <v>90</v>
      </c>
      <c r="C116" s="78" t="s">
        <v>237</v>
      </c>
      <c r="D116" s="70" t="s">
        <v>11</v>
      </c>
      <c r="E116" s="71">
        <v>3</v>
      </c>
      <c r="F116" s="71"/>
      <c r="G116" s="71"/>
      <c r="H116" s="72"/>
      <c r="I116" s="73" t="s">
        <v>288</v>
      </c>
      <c r="J116" s="74" t="s">
        <v>239</v>
      </c>
      <c r="K116" s="75" t="s">
        <v>11</v>
      </c>
      <c r="L116" s="77">
        <v>3</v>
      </c>
      <c r="M116" s="77"/>
      <c r="N116" s="77"/>
      <c r="O116" s="88"/>
    </row>
    <row r="117" spans="2:15" s="2" customFormat="1" outlineLevel="1" x14ac:dyDescent="0.25">
      <c r="B117" s="56">
        <v>91</v>
      </c>
      <c r="C117" s="68" t="s">
        <v>240</v>
      </c>
      <c r="D117" s="84" t="s">
        <v>11</v>
      </c>
      <c r="E117" s="57">
        <v>1</v>
      </c>
      <c r="F117" s="57"/>
      <c r="G117" s="57"/>
      <c r="H117" s="58"/>
      <c r="I117" s="59" t="s">
        <v>289</v>
      </c>
      <c r="J117" s="60" t="s">
        <v>241</v>
      </c>
      <c r="K117" s="61" t="s">
        <v>11</v>
      </c>
      <c r="L117" s="62">
        <v>1</v>
      </c>
      <c r="M117" s="62"/>
      <c r="N117" s="62"/>
      <c r="O117" s="63"/>
    </row>
    <row r="118" spans="2:15" s="2" customFormat="1" outlineLevel="1" x14ac:dyDescent="0.25">
      <c r="B118" s="95">
        <v>92</v>
      </c>
      <c r="C118" s="46" t="s">
        <v>135</v>
      </c>
      <c r="D118" s="97" t="s">
        <v>103</v>
      </c>
      <c r="E118" s="93">
        <v>15</v>
      </c>
      <c r="F118" s="93"/>
      <c r="G118" s="93"/>
      <c r="H118" s="37"/>
      <c r="I118" s="42" t="s">
        <v>290</v>
      </c>
      <c r="J118" s="43" t="s">
        <v>136</v>
      </c>
      <c r="K118" s="44" t="s">
        <v>11</v>
      </c>
      <c r="L118" s="45">
        <v>2</v>
      </c>
      <c r="M118" s="45"/>
      <c r="N118" s="45"/>
      <c r="O118" s="67"/>
    </row>
    <row r="119" spans="2:15" s="2" customFormat="1" outlineLevel="1" x14ac:dyDescent="0.25">
      <c r="B119" s="95"/>
      <c r="C119" s="46"/>
      <c r="D119" s="97"/>
      <c r="E119" s="93"/>
      <c r="F119" s="93"/>
      <c r="G119" s="93"/>
      <c r="H119" s="37"/>
      <c r="I119" s="42" t="s">
        <v>291</v>
      </c>
      <c r="J119" s="43" t="s">
        <v>137</v>
      </c>
      <c r="K119" s="44" t="s">
        <v>11</v>
      </c>
      <c r="L119" s="45">
        <v>1</v>
      </c>
      <c r="M119" s="45"/>
      <c r="N119" s="45"/>
      <c r="O119" s="67"/>
    </row>
    <row r="120" spans="2:15" s="2" customFormat="1" ht="25.5" outlineLevel="1" x14ac:dyDescent="0.25">
      <c r="B120" s="96"/>
      <c r="C120" s="68"/>
      <c r="D120" s="98"/>
      <c r="E120" s="94"/>
      <c r="F120" s="94"/>
      <c r="G120" s="94"/>
      <c r="H120" s="58"/>
      <c r="I120" s="59" t="s">
        <v>292</v>
      </c>
      <c r="J120" s="60" t="s">
        <v>138</v>
      </c>
      <c r="K120" s="61" t="s">
        <v>103</v>
      </c>
      <c r="L120" s="62">
        <v>15</v>
      </c>
      <c r="M120" s="62"/>
      <c r="N120" s="62"/>
      <c r="O120" s="63"/>
    </row>
    <row r="121" spans="2:15" s="2" customFormat="1" outlineLevel="1" x14ac:dyDescent="0.25">
      <c r="B121" s="83"/>
      <c r="C121" s="85"/>
      <c r="D121" s="83"/>
      <c r="E121" s="81"/>
      <c r="F121" s="81"/>
      <c r="G121" s="81"/>
      <c r="H121" s="37"/>
      <c r="I121" s="42"/>
      <c r="J121" s="43"/>
      <c r="K121" s="44"/>
      <c r="L121" s="45"/>
      <c r="M121" s="45"/>
      <c r="N121" s="45"/>
      <c r="O121" s="87"/>
    </row>
    <row r="122" spans="2:15" s="4" customFormat="1" ht="22.5" customHeight="1" x14ac:dyDescent="0.25">
      <c r="B122" s="20"/>
      <c r="C122" s="21"/>
      <c r="D122" s="22"/>
      <c r="E122" s="23"/>
      <c r="F122" s="23"/>
      <c r="G122" s="24">
        <f>SUM(G5:G74)</f>
        <v>0</v>
      </c>
      <c r="H122" s="39"/>
      <c r="I122" s="32"/>
      <c r="J122" s="35"/>
      <c r="K122" s="25"/>
      <c r="L122" s="26"/>
      <c r="M122" s="26"/>
      <c r="N122" s="27">
        <f>SUM(N5:N74)</f>
        <v>0</v>
      </c>
      <c r="O122" s="40">
        <f>G122+N122</f>
        <v>0</v>
      </c>
    </row>
    <row r="123" spans="2:15" ht="0.75" customHeight="1" x14ac:dyDescent="0.25"/>
    <row r="124" spans="2:15" s="4" customFormat="1" ht="21" customHeight="1" x14ac:dyDescent="0.25">
      <c r="B124" s="7" t="s">
        <v>8</v>
      </c>
      <c r="C124" s="8"/>
      <c r="D124" s="9"/>
      <c r="E124" s="10"/>
      <c r="F124" s="10"/>
      <c r="G124" s="11">
        <f>SUM(G5:G123)/2</f>
        <v>0</v>
      </c>
      <c r="H124" s="12"/>
      <c r="I124" s="33"/>
      <c r="J124" s="36"/>
      <c r="K124" s="13"/>
      <c r="L124" s="14"/>
      <c r="M124" s="14"/>
      <c r="N124" s="15">
        <f>SUM(N5:N123)/2</f>
        <v>0</v>
      </c>
      <c r="O124" s="16">
        <f>SUM(O5:O123)</f>
        <v>0</v>
      </c>
    </row>
    <row r="126" spans="2:15" x14ac:dyDescent="0.25">
      <c r="C126" t="s">
        <v>293</v>
      </c>
      <c r="E126" s="90"/>
      <c r="F126" s="90"/>
      <c r="G126" s="91" t="s">
        <v>294</v>
      </c>
    </row>
    <row r="128" spans="2:15" x14ac:dyDescent="0.25">
      <c r="C128" t="s">
        <v>295</v>
      </c>
      <c r="E128" s="90"/>
      <c r="F128" s="90"/>
      <c r="G128" s="91" t="s">
        <v>296</v>
      </c>
    </row>
    <row r="144" spans="3:3" x14ac:dyDescent="0.25">
      <c r="C144" s="29"/>
    </row>
    <row r="157" spans="3:3" x14ac:dyDescent="0.25">
      <c r="C157" s="29"/>
    </row>
    <row r="182" spans="3:3" x14ac:dyDescent="0.25">
      <c r="C182" s="29"/>
    </row>
    <row r="183" spans="3:3" x14ac:dyDescent="0.25">
      <c r="C183" s="29"/>
    </row>
    <row r="184" spans="3:3" x14ac:dyDescent="0.25">
      <c r="C184" s="29"/>
    </row>
    <row r="185" spans="3:3" x14ac:dyDescent="0.25">
      <c r="C185" s="29"/>
    </row>
    <row r="205" spans="3:3" x14ac:dyDescent="0.25">
      <c r="C205" s="29"/>
    </row>
  </sheetData>
  <mergeCells count="6">
    <mergeCell ref="N1:O1"/>
    <mergeCell ref="G118:G120"/>
    <mergeCell ref="B118:B120"/>
    <mergeCell ref="D118:D120"/>
    <mergeCell ref="E118:E120"/>
    <mergeCell ref="F118:F120"/>
  </mergeCells>
  <pageMargins left="0.23622047244094491" right="0.23622047244094491" top="0.15748031496062992" bottom="0.35433070866141736" header="0.31496062992125984" footer="0.31496062992125984"/>
  <pageSetup paperSize="9" scale="51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Кухтин</dc:creator>
  <cp:lastModifiedBy>Татьяна И. Чурсанова</cp:lastModifiedBy>
  <cp:lastPrinted>2023-09-05T13:11:49Z</cp:lastPrinted>
  <dcterms:created xsi:type="dcterms:W3CDTF">2020-07-24T12:45:56Z</dcterms:created>
  <dcterms:modified xsi:type="dcterms:W3CDTF">2023-10-12T07:56:22Z</dcterms:modified>
</cp:coreProperties>
</file>