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3 произв. этаж" sheetId="7" r:id="rId1"/>
  </sheets>
  <calcPr calcId="162913" refMode="R1C1"/>
</workbook>
</file>

<file path=xl/calcChain.xml><?xml version="1.0" encoding="utf-8"?>
<calcChain xmlns="http://schemas.openxmlformats.org/spreadsheetml/2006/main">
  <c r="D32" i="7" l="1"/>
  <c r="D34" i="7" s="1"/>
  <c r="D21" i="7"/>
  <c r="D20" i="7"/>
  <c r="D35" i="7" l="1"/>
  <c r="D36" i="7"/>
  <c r="D33" i="7"/>
  <c r="I33" i="7" s="1"/>
  <c r="H19" i="7"/>
  <c r="H17" i="7"/>
  <c r="I36" i="7" l="1"/>
  <c r="I34" i="7"/>
  <c r="I32" i="7"/>
  <c r="D26" i="7"/>
  <c r="I26" i="7" s="1"/>
  <c r="I27" i="7" s="1"/>
  <c r="I24" i="7"/>
  <c r="D41" i="7"/>
  <c r="D38" i="7" l="1"/>
  <c r="I38" i="7" s="1"/>
  <c r="D23" i="7"/>
  <c r="D22" i="7"/>
  <c r="I22" i="7" s="1"/>
  <c r="D17" i="7"/>
  <c r="D16" i="7"/>
  <c r="D15" i="7"/>
  <c r="D14" i="7"/>
  <c r="I19" i="7" l="1"/>
  <c r="I17" i="7"/>
  <c r="I25" i="7"/>
  <c r="I23" i="7"/>
  <c r="D468" i="7" l="1"/>
  <c r="D479" i="7"/>
  <c r="D483" i="7"/>
  <c r="D482" i="7"/>
  <c r="D481" i="7"/>
  <c r="D480" i="7"/>
  <c r="D484" i="7"/>
  <c r="A500" i="7" l="1"/>
  <c r="D496" i="7"/>
  <c r="I496" i="7" s="1"/>
  <c r="D490" i="7"/>
  <c r="D493" i="7" s="1"/>
  <c r="I493" i="7" s="1"/>
  <c r="A491" i="7"/>
  <c r="A492" i="7" s="1"/>
  <c r="A493" i="7" s="1"/>
  <c r="A494" i="7" s="1"/>
  <c r="A495" i="7" s="1"/>
  <c r="A496" i="7" s="1"/>
  <c r="D488" i="7"/>
  <c r="I488" i="7" s="1"/>
  <c r="D487" i="7"/>
  <c r="I487" i="7" s="1"/>
  <c r="D486" i="7"/>
  <c r="I483" i="7"/>
  <c r="I481" i="7"/>
  <c r="I480" i="7"/>
  <c r="D448" i="7"/>
  <c r="I267" i="7"/>
  <c r="I266" i="7"/>
  <c r="D265" i="7"/>
  <c r="I182" i="7"/>
  <c r="I470" i="7"/>
  <c r="I472" i="7" s="1"/>
  <c r="I469" i="7"/>
  <c r="I471" i="7" s="1"/>
  <c r="I473" i="7"/>
  <c r="I259" i="7"/>
  <c r="I174" i="7"/>
  <c r="I464" i="7"/>
  <c r="I466" i="7" s="1"/>
  <c r="I463" i="7"/>
  <c r="I465" i="7" s="1"/>
  <c r="D462" i="7"/>
  <c r="I467" i="7" s="1"/>
  <c r="A481" i="7"/>
  <c r="A482" i="7" s="1"/>
  <c r="A483" i="7" s="1"/>
  <c r="I479" i="7"/>
  <c r="D455" i="7"/>
  <c r="D447" i="7"/>
  <c r="D446" i="7"/>
  <c r="D379" i="7"/>
  <c r="D378" i="7"/>
  <c r="D445" i="7"/>
  <c r="D444" i="7"/>
  <c r="D443" i="7"/>
  <c r="D442" i="7"/>
  <c r="D441" i="7"/>
  <c r="D474" i="7" l="1"/>
  <c r="D478" i="7" s="1"/>
  <c r="I478" i="7" s="1"/>
  <c r="D491" i="7"/>
  <c r="D495" i="7"/>
  <c r="I495" i="7" s="1"/>
  <c r="D494" i="7"/>
  <c r="I494" i="7" s="1"/>
  <c r="D492" i="7"/>
  <c r="I492" i="7" s="1"/>
  <c r="I462" i="7"/>
  <c r="D476" i="7"/>
  <c r="I476" i="7" s="1"/>
  <c r="I468" i="7"/>
  <c r="I457" i="7"/>
  <c r="I459" i="7" s="1"/>
  <c r="I456" i="7"/>
  <c r="I458" i="7" s="1"/>
  <c r="I455" i="7"/>
  <c r="I454" i="7"/>
  <c r="I451" i="7"/>
  <c r="I452" i="7"/>
  <c r="I447" i="7"/>
  <c r="I446" i="7"/>
  <c r="I445" i="7"/>
  <c r="A445" i="7"/>
  <c r="A446" i="7" s="1"/>
  <c r="I444" i="7"/>
  <c r="I443" i="7"/>
  <c r="I442" i="7"/>
  <c r="A432" i="7"/>
  <c r="A433" i="7" s="1"/>
  <c r="A434" i="7" s="1"/>
  <c r="A437" i="7" s="1"/>
  <c r="D437" i="7"/>
  <c r="I437" i="7" s="1"/>
  <c r="I439" i="7" s="1"/>
  <c r="I436" i="7"/>
  <c r="D434" i="7"/>
  <c r="I435" i="7" s="1"/>
  <c r="D433" i="7"/>
  <c r="I433" i="7" s="1"/>
  <c r="D432" i="7"/>
  <c r="I432" i="7" s="1"/>
  <c r="D431" i="7"/>
  <c r="I431" i="7" s="1"/>
  <c r="D430" i="7"/>
  <c r="I430" i="7" s="1"/>
  <c r="D429" i="7"/>
  <c r="D428" i="7"/>
  <c r="A428" i="7"/>
  <c r="A429" i="7" s="1"/>
  <c r="D420" i="7"/>
  <c r="I420" i="7" s="1"/>
  <c r="D414" i="7"/>
  <c r="D419" i="7" s="1"/>
  <c r="I419" i="7" s="1"/>
  <c r="A415" i="7"/>
  <c r="A416" i="7" s="1"/>
  <c r="A417" i="7" s="1"/>
  <c r="A418" i="7" s="1"/>
  <c r="A419" i="7" s="1"/>
  <c r="A420" i="7" s="1"/>
  <c r="D412" i="7"/>
  <c r="I412" i="7" s="1"/>
  <c r="D411" i="7"/>
  <c r="I411" i="7" s="1"/>
  <c r="D410" i="7"/>
  <c r="D408" i="7"/>
  <c r="D407" i="7"/>
  <c r="D477" i="7" l="1"/>
  <c r="D475" i="7"/>
  <c r="I475" i="7" s="1"/>
  <c r="I474" i="7"/>
  <c r="I448" i="7"/>
  <c r="I460" i="7"/>
  <c r="I438" i="7"/>
  <c r="A430" i="7"/>
  <c r="D415" i="7"/>
  <c r="I434" i="7"/>
  <c r="D416" i="7"/>
  <c r="I416" i="7" s="1"/>
  <c r="D417" i="7"/>
  <c r="I417" i="7" s="1"/>
  <c r="D418" i="7"/>
  <c r="I418" i="7" s="1"/>
  <c r="D404" i="7"/>
  <c r="I404" i="7" s="1"/>
  <c r="I405" i="7" s="1"/>
  <c r="D403" i="7" l="1"/>
  <c r="D399" i="7"/>
  <c r="D402" i="7" s="1"/>
  <c r="I402" i="7" s="1"/>
  <c r="I400" i="7"/>
  <c r="D396" i="7"/>
  <c r="I396" i="7" s="1"/>
  <c r="D387" i="7"/>
  <c r="I389" i="7" s="1"/>
  <c r="I391" i="7" s="1"/>
  <c r="D380" i="7"/>
  <c r="I384" i="7" s="1"/>
  <c r="D373" i="7"/>
  <c r="D337" i="7"/>
  <c r="I337" i="7" s="1"/>
  <c r="D336" i="7"/>
  <c r="D335" i="7"/>
  <c r="I335" i="7" s="1"/>
  <c r="D334" i="7"/>
  <c r="I334" i="7" s="1"/>
  <c r="D333" i="7"/>
  <c r="I333" i="7" s="1"/>
  <c r="D326" i="7"/>
  <c r="I330" i="7" s="1"/>
  <c r="I332" i="7"/>
  <c r="I329" i="7"/>
  <c r="I386" i="7"/>
  <c r="I383" i="7"/>
  <c r="I379" i="7"/>
  <c r="I378" i="7"/>
  <c r="D377" i="7"/>
  <c r="I377" i="7" s="1"/>
  <c r="A377" i="7"/>
  <c r="A378" i="7" s="1"/>
  <c r="D376" i="7"/>
  <c r="I376" i="7" s="1"/>
  <c r="D375" i="7"/>
  <c r="I375" i="7" s="1"/>
  <c r="D374" i="7"/>
  <c r="I374" i="7" s="1"/>
  <c r="D369" i="7"/>
  <c r="I369" i="7" s="1"/>
  <c r="I370" i="7" s="1"/>
  <c r="D367" i="7"/>
  <c r="I368" i="7" s="1"/>
  <c r="D364" i="7"/>
  <c r="I364" i="7" s="1"/>
  <c r="I365" i="7" s="1"/>
  <c r="I298" i="7"/>
  <c r="D361" i="7"/>
  <c r="I362" i="7" s="1"/>
  <c r="D360" i="7"/>
  <c r="I360" i="7" s="1"/>
  <c r="D359" i="7"/>
  <c r="I359" i="7" s="1"/>
  <c r="D358" i="7"/>
  <c r="I358" i="7" s="1"/>
  <c r="D357" i="7"/>
  <c r="D356" i="7"/>
  <c r="I371" i="7"/>
  <c r="A369" i="7"/>
  <c r="I366" i="7"/>
  <c r="A356" i="7"/>
  <c r="A357" i="7" s="1"/>
  <c r="A358" i="7" s="1"/>
  <c r="A359" i="7" s="1"/>
  <c r="A360" i="7" s="1"/>
  <c r="A361" i="7" s="1"/>
  <c r="A364" i="7" s="1"/>
  <c r="I348" i="7"/>
  <c r="A343" i="7"/>
  <c r="A344" i="7" s="1"/>
  <c r="A345" i="7" s="1"/>
  <c r="A346" i="7" s="1"/>
  <c r="A347" i="7" s="1"/>
  <c r="A348" i="7" s="1"/>
  <c r="D345" i="7"/>
  <c r="I345" i="7" s="1"/>
  <c r="D340" i="7"/>
  <c r="D339" i="7"/>
  <c r="D322" i="7"/>
  <c r="D325" i="7" s="1"/>
  <c r="I325" i="7" s="1"/>
  <c r="I323" i="7"/>
  <c r="D316" i="7"/>
  <c r="I316" i="7" s="1"/>
  <c r="D315" i="7"/>
  <c r="I315" i="7" s="1"/>
  <c r="D314" i="7"/>
  <c r="D394" i="7" l="1"/>
  <c r="I399" i="7"/>
  <c r="I380" i="7"/>
  <c r="I326" i="7"/>
  <c r="I392" i="7"/>
  <c r="I387" i="7"/>
  <c r="I388" i="7"/>
  <c r="I390" i="7" s="1"/>
  <c r="I361" i="7"/>
  <c r="D343" i="7"/>
  <c r="D346" i="7"/>
  <c r="I346" i="7" s="1"/>
  <c r="D344" i="7"/>
  <c r="I344" i="7" s="1"/>
  <c r="D347" i="7"/>
  <c r="I347" i="7" s="1"/>
  <c r="D317" i="7"/>
  <c r="D318" i="7" s="1"/>
  <c r="I318" i="7" s="1"/>
  <c r="I322" i="7"/>
  <c r="I309" i="7"/>
  <c r="I310" i="7"/>
  <c r="D308" i="7"/>
  <c r="D321" i="7" l="1"/>
  <c r="I321" i="7" s="1"/>
  <c r="I394" i="7"/>
  <c r="D398" i="7"/>
  <c r="I398" i="7" s="1"/>
  <c r="D397" i="7"/>
  <c r="D395" i="7"/>
  <c r="I395" i="7" s="1"/>
  <c r="D319" i="7"/>
  <c r="I319" i="7" s="1"/>
  <c r="I317" i="7"/>
  <c r="D320" i="7"/>
  <c r="I313" i="7"/>
  <c r="I312" i="7"/>
  <c r="I311" i="7"/>
  <c r="I308" i="7"/>
  <c r="D299" i="7"/>
  <c r="I299" i="7" s="1"/>
  <c r="I300" i="7" s="1"/>
  <c r="D304" i="7"/>
  <c r="D295" i="7"/>
  <c r="I295" i="7" s="1"/>
  <c r="I301" i="7"/>
  <c r="I297" i="7"/>
  <c r="I296" i="7"/>
  <c r="I294" i="7"/>
  <c r="I293" i="7"/>
  <c r="A291" i="7"/>
  <c r="A292" i="7" s="1"/>
  <c r="A293" i="7" s="1"/>
  <c r="A294" i="7" s="1"/>
  <c r="A295" i="7" s="1"/>
  <c r="A296" i="7" s="1"/>
  <c r="A299" i="7" s="1"/>
  <c r="D281" i="7" l="1"/>
  <c r="D284" i="7" s="1"/>
  <c r="I284" i="7" s="1"/>
  <c r="I282" i="7"/>
  <c r="D191" i="7"/>
  <c r="D280" i="7"/>
  <c r="I280" i="7" s="1"/>
  <c r="D279" i="7"/>
  <c r="D278" i="7"/>
  <c r="I278" i="7" s="1"/>
  <c r="D277" i="7"/>
  <c r="I277" i="7" s="1"/>
  <c r="D276" i="7"/>
  <c r="I276" i="7" s="1"/>
  <c r="I254" i="7"/>
  <c r="D252" i="7"/>
  <c r="I252" i="7" s="1"/>
  <c r="I269" i="7"/>
  <c r="I268" i="7"/>
  <c r="I270" i="7"/>
  <c r="I260" i="7"/>
  <c r="I262" i="7" s="1"/>
  <c r="I261" i="7"/>
  <c r="D258" i="7"/>
  <c r="I258" i="7" s="1"/>
  <c r="D264" i="7"/>
  <c r="D195" i="7"/>
  <c r="D194" i="7"/>
  <c r="D193" i="7"/>
  <c r="D192" i="7"/>
  <c r="D152" i="7"/>
  <c r="D238" i="7"/>
  <c r="I242" i="7" s="1"/>
  <c r="D151" i="7"/>
  <c r="D150" i="7"/>
  <c r="D237" i="7"/>
  <c r="I237" i="7" s="1"/>
  <c r="D236" i="7"/>
  <c r="I236" i="7" s="1"/>
  <c r="D235" i="7"/>
  <c r="I235" i="7" s="1"/>
  <c r="D234" i="7"/>
  <c r="I234" i="7" s="1"/>
  <c r="D233" i="7"/>
  <c r="I233" i="7" s="1"/>
  <c r="D232" i="7"/>
  <c r="I232" i="7" s="1"/>
  <c r="D231" i="7"/>
  <c r="D229" i="7"/>
  <c r="D228" i="7"/>
  <c r="D226" i="7"/>
  <c r="I226" i="7" s="1"/>
  <c r="D225" i="7"/>
  <c r="I225" i="7" s="1"/>
  <c r="D224" i="7"/>
  <c r="D221" i="7"/>
  <c r="I221" i="7" s="1"/>
  <c r="D215" i="7"/>
  <c r="D216" i="7" s="1"/>
  <c r="D211" i="7"/>
  <c r="I211" i="7" s="1"/>
  <c r="I212" i="7" s="1"/>
  <c r="D207" i="7"/>
  <c r="I207" i="7" s="1"/>
  <c r="D208" i="7"/>
  <c r="I209" i="7" s="1"/>
  <c r="D206" i="7"/>
  <c r="I206" i="7" s="1"/>
  <c r="D205" i="7"/>
  <c r="I205" i="7" s="1"/>
  <c r="D204" i="7"/>
  <c r="I204" i="7" s="1"/>
  <c r="D203" i="7"/>
  <c r="D202" i="7"/>
  <c r="A278" i="7"/>
  <c r="A279" i="7" s="1"/>
  <c r="A280" i="7" s="1"/>
  <c r="I256" i="7"/>
  <c r="D245" i="7"/>
  <c r="I245" i="7" s="1"/>
  <c r="I244" i="7"/>
  <c r="I241" i="7"/>
  <c r="A235" i="7"/>
  <c r="A236" i="7" s="1"/>
  <c r="A216" i="7"/>
  <c r="A217" i="7" s="1"/>
  <c r="A218" i="7" s="1"/>
  <c r="A219" i="7" s="1"/>
  <c r="A220" i="7" s="1"/>
  <c r="A221" i="7" s="1"/>
  <c r="I213" i="7"/>
  <c r="I210" i="7"/>
  <c r="A207" i="7"/>
  <c r="A208" i="7" s="1"/>
  <c r="A211" i="7" s="1"/>
  <c r="A202" i="7"/>
  <c r="A203" i="7" s="1"/>
  <c r="A204" i="7" s="1"/>
  <c r="A304" i="7"/>
  <c r="I303" i="7"/>
  <c r="I304" i="7"/>
  <c r="I305" i="7" s="1"/>
  <c r="I306" i="7"/>
  <c r="D138" i="7"/>
  <c r="I138" i="7" s="1"/>
  <c r="D132" i="7"/>
  <c r="D136" i="7" s="1"/>
  <c r="I136" i="7" s="1"/>
  <c r="A133" i="7"/>
  <c r="A134" i="7" s="1"/>
  <c r="A135" i="7" s="1"/>
  <c r="A136" i="7" s="1"/>
  <c r="A137" i="7" s="1"/>
  <c r="A138" i="7" s="1"/>
  <c r="D128" i="7"/>
  <c r="I128" i="7" s="1"/>
  <c r="I129" i="7" s="1"/>
  <c r="I127" i="7"/>
  <c r="D125" i="7"/>
  <c r="I126" i="7" s="1"/>
  <c r="D124" i="7"/>
  <c r="I124" i="7" s="1"/>
  <c r="D123" i="7"/>
  <c r="I123" i="7" s="1"/>
  <c r="D122" i="7"/>
  <c r="I122" i="7" s="1"/>
  <c r="D121" i="7"/>
  <c r="I121" i="7" s="1"/>
  <c r="D120" i="7"/>
  <c r="D119" i="7"/>
  <c r="J130" i="7"/>
  <c r="I130" i="7"/>
  <c r="A119" i="7"/>
  <c r="A120" i="7" s="1"/>
  <c r="A124" i="7" s="1"/>
  <c r="A125" i="7" s="1"/>
  <c r="A128" i="7" s="1"/>
  <c r="D220" i="7" l="1"/>
  <c r="I220" i="7" s="1"/>
  <c r="I263" i="7"/>
  <c r="I281" i="7"/>
  <c r="I255" i="7"/>
  <c r="I257" i="7"/>
  <c r="D273" i="7"/>
  <c r="I273" i="7" s="1"/>
  <c r="I246" i="7"/>
  <c r="I248" i="7" s="1"/>
  <c r="I238" i="7"/>
  <c r="D217" i="7"/>
  <c r="I217" i="7" s="1"/>
  <c r="I208" i="7"/>
  <c r="D218" i="7"/>
  <c r="I218" i="7" s="1"/>
  <c r="I247" i="7"/>
  <c r="I249" i="7" s="1"/>
  <c r="D271" i="7"/>
  <c r="D219" i="7"/>
  <c r="I219" i="7" s="1"/>
  <c r="I250" i="7"/>
  <c r="I265" i="7"/>
  <c r="A121" i="7"/>
  <c r="D133" i="7"/>
  <c r="D135" i="7"/>
  <c r="I135" i="7" s="1"/>
  <c r="D137" i="7"/>
  <c r="I137" i="7" s="1"/>
  <c r="D134" i="7"/>
  <c r="I134" i="7" s="1"/>
  <c r="I125" i="7"/>
  <c r="I184" i="7"/>
  <c r="I181" i="7"/>
  <c r="I183" i="7" s="1"/>
  <c r="D180" i="7"/>
  <c r="I180" i="7" s="1"/>
  <c r="D179" i="7"/>
  <c r="I175" i="7"/>
  <c r="D173" i="7"/>
  <c r="D272" i="7" l="1"/>
  <c r="I272" i="7" s="1"/>
  <c r="I271" i="7"/>
  <c r="D275" i="7"/>
  <c r="I275" i="7" s="1"/>
  <c r="D274" i="7"/>
  <c r="I176" i="7"/>
  <c r="I185" i="7"/>
  <c r="I173" i="7"/>
  <c r="I177" i="7"/>
  <c r="I178" i="7"/>
  <c r="I168" i="7"/>
  <c r="I167" i="7"/>
  <c r="D166" i="7" l="1"/>
  <c r="D159" i="7"/>
  <c r="I161" i="7" s="1"/>
  <c r="I163" i="7" s="1"/>
  <c r="I152" i="7"/>
  <c r="D149" i="7"/>
  <c r="I149" i="7" s="1"/>
  <c r="D148" i="7"/>
  <c r="I148" i="7" s="1"/>
  <c r="D147" i="7"/>
  <c r="I147" i="7" s="1"/>
  <c r="D146" i="7"/>
  <c r="I146" i="7" s="1"/>
  <c r="D143" i="7"/>
  <c r="D142" i="7"/>
  <c r="I142" i="7" s="1"/>
  <c r="D141" i="7"/>
  <c r="D145" i="7"/>
  <c r="I195" i="7"/>
  <c r="I193" i="7"/>
  <c r="A193" i="7"/>
  <c r="A194" i="7" s="1"/>
  <c r="A195" i="7" s="1"/>
  <c r="I192" i="7"/>
  <c r="I191" i="7"/>
  <c r="I170" i="7"/>
  <c r="I158" i="7"/>
  <c r="I155" i="7"/>
  <c r="I151" i="7"/>
  <c r="I150" i="7"/>
  <c r="A149" i="7"/>
  <c r="A150" i="7" s="1"/>
  <c r="I92" i="7"/>
  <c r="I166" i="7" l="1"/>
  <c r="D188" i="7"/>
  <c r="I188" i="7" s="1"/>
  <c r="D186" i="7"/>
  <c r="D187" i="7" s="1"/>
  <c r="I187" i="7" s="1"/>
  <c r="I156" i="7"/>
  <c r="I164" i="7"/>
  <c r="I159" i="7"/>
  <c r="I169" i="7"/>
  <c r="I160" i="7"/>
  <c r="I162" i="7" s="1"/>
  <c r="I171" i="7"/>
  <c r="I84" i="7"/>
  <c r="D95" i="7"/>
  <c r="I95" i="7" s="1"/>
  <c r="D99" i="7"/>
  <c r="D98" i="7"/>
  <c r="D97" i="7"/>
  <c r="D189" i="7" l="1"/>
  <c r="D190" i="7"/>
  <c r="I190" i="7" s="1"/>
  <c r="I186" i="7"/>
  <c r="D96" i="7"/>
  <c r="D91" i="7"/>
  <c r="I91" i="7" s="1"/>
  <c r="D103" i="7"/>
  <c r="I103" i="7" s="1"/>
  <c r="D111" i="7"/>
  <c r="I111" i="7" s="1"/>
  <c r="D106" i="7"/>
  <c r="D105" i="7"/>
  <c r="D80" i="7" l="1"/>
  <c r="D86" i="7" l="1"/>
  <c r="D89" i="7" s="1"/>
  <c r="I85" i="7"/>
  <c r="I83" i="7"/>
  <c r="I80" i="7"/>
  <c r="D88" i="7"/>
  <c r="I88" i="7" s="1"/>
  <c r="D87" i="7" l="1"/>
  <c r="I87" i="7" s="1"/>
  <c r="D90" i="7"/>
  <c r="I90" i="7" s="1"/>
  <c r="I86" i="7"/>
  <c r="D73" i="7"/>
  <c r="I74" i="7" l="1"/>
  <c r="I76" i="7" s="1"/>
  <c r="I73" i="7"/>
  <c r="I75" i="7"/>
  <c r="I77" i="7" s="1"/>
  <c r="I78" i="7"/>
  <c r="D66" i="7"/>
  <c r="I70" i="7" s="1"/>
  <c r="I72" i="7"/>
  <c r="I69" i="7"/>
  <c r="D65" i="7"/>
  <c r="I65" i="7" s="1"/>
  <c r="D64" i="7"/>
  <c r="I64" i="7" s="1"/>
  <c r="D63" i="7"/>
  <c r="D62" i="7"/>
  <c r="D61" i="7"/>
  <c r="I61" i="7" s="1"/>
  <c r="D60" i="7"/>
  <c r="I60" i="7" s="1"/>
  <c r="D59" i="7"/>
  <c r="D51" i="7"/>
  <c r="I51" i="7" s="1"/>
  <c r="D50" i="7"/>
  <c r="I50" i="7" s="1"/>
  <c r="D55" i="7"/>
  <c r="I55" i="7" s="1"/>
  <c r="I56" i="7" s="1"/>
  <c r="I54" i="7"/>
  <c r="D52" i="7"/>
  <c r="I53" i="7" s="1"/>
  <c r="D49" i="7"/>
  <c r="I49" i="7" s="1"/>
  <c r="D48" i="7"/>
  <c r="I57" i="7"/>
  <c r="D47" i="7"/>
  <c r="A47" i="7"/>
  <c r="A48" i="7" s="1"/>
  <c r="A49" i="7" s="1"/>
  <c r="A50" i="7" s="1"/>
  <c r="A51" i="7" s="1"/>
  <c r="A52" i="7" s="1"/>
  <c r="A55" i="7" s="1"/>
  <c r="I66" i="7" l="1"/>
  <c r="I52" i="7"/>
  <c r="D94" i="7" l="1"/>
  <c r="I94" i="7" s="1"/>
  <c r="I143" i="7" l="1"/>
  <c r="A424" i="7" l="1"/>
  <c r="I99" i="7" l="1"/>
  <c r="I97" i="7"/>
  <c r="I96" i="7"/>
  <c r="I62" i="7"/>
  <c r="D101" i="7"/>
  <c r="A106" i="7"/>
  <c r="A107" i="7" s="1"/>
  <c r="A108" i="7" s="1"/>
  <c r="A109" i="7" s="1"/>
  <c r="A110" i="7" s="1"/>
  <c r="A111" i="7" s="1"/>
  <c r="I63" i="7" l="1"/>
  <c r="D107" i="7" l="1"/>
  <c r="I107" i="7" s="1"/>
  <c r="D110" i="7"/>
  <c r="I110" i="7" s="1"/>
  <c r="D109" i="7"/>
  <c r="I109" i="7" s="1"/>
  <c r="D108" i="7"/>
  <c r="I108" i="7" s="1"/>
  <c r="A115" i="7"/>
  <c r="A63" i="7"/>
  <c r="A64" i="7" s="1"/>
  <c r="A97" i="7" l="1"/>
  <c r="A98" i="7" s="1"/>
  <c r="A99" i="7" s="1"/>
  <c r="I30" i="7" l="1"/>
  <c r="A42" i="7" l="1"/>
</calcChain>
</file>

<file path=xl/sharedStrings.xml><?xml version="1.0" encoding="utf-8"?>
<sst xmlns="http://schemas.openxmlformats.org/spreadsheetml/2006/main" count="1857" uniqueCount="256">
  <si>
    <t>№ п/п</t>
  </si>
  <si>
    <t>Наименование работ</t>
  </si>
  <si>
    <t>Ед. изм</t>
  </si>
  <si>
    <t>Кол-во</t>
  </si>
  <si>
    <t>м2</t>
  </si>
  <si>
    <t xml:space="preserve">Огрунтовка стен, за два раза </t>
  </si>
  <si>
    <t>Окраска стен за два раза</t>
  </si>
  <si>
    <t>Демонтаж плинтуса</t>
  </si>
  <si>
    <t>Монтаж плинтуса</t>
  </si>
  <si>
    <t xml:space="preserve">Монтаж потолка типа армстронг </t>
  </si>
  <si>
    <t>м/п</t>
  </si>
  <si>
    <t>шт</t>
  </si>
  <si>
    <t>Демонтаж потолка типа армстронг с направляющими</t>
  </si>
  <si>
    <t xml:space="preserve">Утверждаю: </t>
  </si>
  <si>
    <t>"______" __________________ 20_____г.</t>
  </si>
  <si>
    <t>Полы</t>
  </si>
  <si>
    <t>Стены</t>
  </si>
  <si>
    <t>Потолки</t>
  </si>
  <si>
    <t xml:space="preserve">Разные работы </t>
  </si>
  <si>
    <t>Вывоз мусора с погрузкой, выгрузкой и утилизацией</t>
  </si>
  <si>
    <t>тн</t>
  </si>
  <si>
    <t>Металлолом</t>
  </si>
  <si>
    <t>Шпатлевание стен за два раза</t>
  </si>
  <si>
    <t>Огрунтовка стен, за один раз</t>
  </si>
  <si>
    <t>Формула подсчета объемов расхода материала материалов</t>
  </si>
  <si>
    <t>Наименование материала</t>
  </si>
  <si>
    <t>Ед.изм.</t>
  </si>
  <si>
    <t>№п/п</t>
  </si>
  <si>
    <t>3.1</t>
  </si>
  <si>
    <t>5.1</t>
  </si>
  <si>
    <t>Линолеум коммерческий шириной 3 м</t>
  </si>
  <si>
    <t>Плинтус идеал деконика 70 мм, с фурнитурой (торцевые заглушки, уголок внутренний, уголок наружный)</t>
  </si>
  <si>
    <t>6.1</t>
  </si>
  <si>
    <t>6.2</t>
  </si>
  <si>
    <t>Саморез по ГКЛ 3,5*3,1</t>
  </si>
  <si>
    <t>на 1 мет плинтуса 3 самореза</t>
  </si>
  <si>
    <t>на 1 мет плинтуса 3 дюпеля</t>
  </si>
  <si>
    <t>4.1</t>
  </si>
  <si>
    <t>4.2</t>
  </si>
  <si>
    <t>Шуруп саморез металл-металл 4,2х19 мм цинк</t>
  </si>
  <si>
    <t>Саморез по гипсокартону 3,5*35 мм</t>
  </si>
  <si>
    <t>Дюбель универсальный 6/65</t>
  </si>
  <si>
    <t>Шуруп саморез гипс-дерево 3,9*65 мм</t>
  </si>
  <si>
    <t>Грунтовка Glims,10 кг</t>
  </si>
  <si>
    <t>8.1</t>
  </si>
  <si>
    <t>9.1</t>
  </si>
  <si>
    <t>7.1</t>
  </si>
  <si>
    <t>7.2</t>
  </si>
  <si>
    <t>7.3</t>
  </si>
  <si>
    <t>Краска интерьерная «White Line ВД» 14,5 кг</t>
  </si>
  <si>
    <t>150 г на 1 м2 за 1 раз</t>
  </si>
  <si>
    <t>0,48 кг/м2 за 1 слой</t>
  </si>
  <si>
    <t>Финишная шпаклевка ROTBAND PASTA profy  KNAUF , 18 кг</t>
  </si>
  <si>
    <t>2.1</t>
  </si>
  <si>
    <t>10.1</t>
  </si>
  <si>
    <t>11.1</t>
  </si>
  <si>
    <t>12.1</t>
  </si>
  <si>
    <t>13.1</t>
  </si>
  <si>
    <t>Серпянка 45 мм*45м</t>
  </si>
  <si>
    <t>кг</t>
  </si>
  <si>
    <t>Штукатурка гипсовая "Фугенфюллер" кг</t>
  </si>
  <si>
    <t>0,14 кг/м2 за 1 слой</t>
  </si>
  <si>
    <t>4.3</t>
  </si>
  <si>
    <t>на 1 м/п -1,1 м/п</t>
  </si>
  <si>
    <t>0,15 кг на 1 м/п</t>
  </si>
  <si>
    <t>Шлифовка стен перед покраской</t>
  </si>
  <si>
    <t>Жгут для проклейки стыков</t>
  </si>
  <si>
    <t>Клей Axton универсальный для линолеума и ковролина, 13 кг</t>
  </si>
  <si>
    <t>13 кг/42 м2</t>
  </si>
  <si>
    <t>периметр помещения</t>
  </si>
  <si>
    <t>2.2</t>
  </si>
  <si>
    <t>Решетка вентиляционная 600х600</t>
  </si>
  <si>
    <t>Окна</t>
  </si>
  <si>
    <t>Демонтаж деревянной оконной конструкции</t>
  </si>
  <si>
    <t>Зачистка потолка от побелки, шпаклевки (локально)</t>
  </si>
  <si>
    <t>Огрунтовка потолка за 1 раз (локальные места под шпаклевку)</t>
  </si>
  <si>
    <t xml:space="preserve">Огрунтовка потолка за 1 раз (сплошная по всей поверхности) </t>
  </si>
  <si>
    <t>Покраска потолка за 1 раз (сплошная по всей поверхности)</t>
  </si>
  <si>
    <t>Шпатлевание потолка за 2 раза (локальные места)</t>
  </si>
  <si>
    <t>Изготовление, монтаж пластикового окна с откосами из пластика Профиль 70 мм, стеклопакеты двойные 42 мм, в подоконнике предусмотреть вент. решетку. Монтаж выполнить по ГОСТу</t>
  </si>
  <si>
    <t>25 кг на 1 м2 при толщине слоя 3 см</t>
  </si>
  <si>
    <t>Влажная уборка помещения после строительно-монтажных работ перед сдачей работ, с протиранием дверей, окон и т.д</t>
  </si>
  <si>
    <t>ГКЛ Гипсокортон лист КНАУФ 3000*1200*12,5</t>
  </si>
  <si>
    <t>Профиль направляющий 27*28*3000</t>
  </si>
  <si>
    <t>Профиль 60*27*3000 толщина 0,6 мм</t>
  </si>
  <si>
    <t>Демонтаж металлических направляющих за потолком</t>
  </si>
  <si>
    <t>1.1</t>
  </si>
  <si>
    <t>1.2</t>
  </si>
  <si>
    <t>1.3</t>
  </si>
  <si>
    <t>1.4</t>
  </si>
  <si>
    <t>1.5</t>
  </si>
  <si>
    <t>1.6</t>
  </si>
  <si>
    <t>Огрунтовка пола токопроводящей грунтовкой</t>
  </si>
  <si>
    <t>м3</t>
  </si>
  <si>
    <t>6.3</t>
  </si>
  <si>
    <t>Решетка радиаторная ERA 1200*600</t>
  </si>
  <si>
    <t>Монтаж вертикальных жалюзей</t>
  </si>
  <si>
    <t>Жалюзи вертикальные в комплекте с направляющими и ламелями</t>
  </si>
  <si>
    <t>14.1</t>
  </si>
  <si>
    <t>16.1</t>
  </si>
  <si>
    <t>Двери</t>
  </si>
  <si>
    <t>Наливной пол Основит Скорлайн FK48 (FK45)</t>
  </si>
  <si>
    <t>Грунт форба Forbo 041 Europrimer</t>
  </si>
  <si>
    <t>Медная лента Forbo 801 Eurostripe ЕС</t>
  </si>
  <si>
    <t>Наливной пол основит ровилайн FC 49, в мешках по 20 кг</t>
  </si>
  <si>
    <t>1,6 кг/м2 при толщине слоя 1 мм</t>
  </si>
  <si>
    <t>100-150 г/м2</t>
  </si>
  <si>
    <t>Токопроводящий клей типа Forbo 523 Eurocol Eurostar Tack EC</t>
  </si>
  <si>
    <t>250-450 г/м2</t>
  </si>
  <si>
    <t>15.1</t>
  </si>
  <si>
    <t>9.2</t>
  </si>
  <si>
    <t>9.3</t>
  </si>
  <si>
    <t>9.4</t>
  </si>
  <si>
    <t>Проклеить медную ленту с шагом  1,5х1,5 м</t>
  </si>
  <si>
    <t>Обеспыливание пылесосом</t>
  </si>
  <si>
    <t>8.2</t>
  </si>
  <si>
    <t>8.3</t>
  </si>
  <si>
    <t xml:space="preserve">Устройство базового слоя наливного пола (При необходимости) Основит Скорлайн FK48 (FK45) толщиной слоя 20-50 мм </t>
  </si>
  <si>
    <t>Дюбель гвоздь 6*40</t>
  </si>
  <si>
    <t>Расшивка и ремонт трещин</t>
  </si>
  <si>
    <t xml:space="preserve">Окна пластиковые Профиль 70 мм, стеклопакеты двойные 42 мм с бронированной пленкой, с москитными сетками, 2 створки поворотно откидные, в подоконнике предусмотреть вентиляционные решетки над радиаторами, откосы пластиковые. Габариты оконной конструкции 3*5 м, с верху 1,1-1,2 м предусмотреть сэндвич, остальное остекление. </t>
  </si>
  <si>
    <t>Устройство наливного пола финишным ровнителем типа супер финишный основит ровилайн FC 49 толщиной слоя 0-5 мм</t>
  </si>
  <si>
    <t xml:space="preserve">Укладка антистатического линолеума на клей, с проклейкой шва жгутом </t>
  </si>
  <si>
    <t xml:space="preserve">Линолеум антистатический Tarkett Acczent Mineral AS или аналог  </t>
  </si>
  <si>
    <t>Пропиливание ЦСП по перемитру  коридора</t>
  </si>
  <si>
    <t>Помещение 311 общей площадью 29,98+12,17=42,15 м2</t>
  </si>
  <si>
    <t xml:space="preserve">Демонтаж линолеума со всеми плинтусами и порогами  </t>
  </si>
  <si>
    <t>Демонтаж штукатурки (дефектные участки под окнами)</t>
  </si>
  <si>
    <t>Оштукатуривание стен (дефектные участки под окнами)</t>
  </si>
  <si>
    <t>Нанесение цементной гидроизоляции</t>
  </si>
  <si>
    <t>Штукатурка цементная, кг</t>
  </si>
  <si>
    <t>Шпатлевание стен за один раза</t>
  </si>
  <si>
    <t>Окраска стен за один раз</t>
  </si>
  <si>
    <t>Обшивка стен гипсокартоном ГКЛ 12,5 мм в один слой  по каркасу из оцинкованных металлических профилей (наружные стены за вычетом окон и декоративных решоток)  с заделкой швов лентой армирующей</t>
  </si>
  <si>
    <t>Лист гипсокартонный КНАУФ ГКЛ 12,5 мм</t>
  </si>
  <si>
    <t>Профиль направляющий ПН*28/27, толщина 0,6 мм</t>
  </si>
  <si>
    <t>Профиль стоечный ПС*60/27, толщина 0,6 мм</t>
  </si>
  <si>
    <t>Лента уплотнительная</t>
  </si>
  <si>
    <t xml:space="preserve">Лента серпянка самоклеюшаяся </t>
  </si>
  <si>
    <t xml:space="preserve">Подвес прямой </t>
  </si>
  <si>
    <t>Монтаж декоративных решеток (экраны для радиаторов)</t>
  </si>
  <si>
    <t>Грунтовка стен 3 слоя</t>
  </si>
  <si>
    <t>Грунтовка «Оптимист», 10 кг</t>
  </si>
  <si>
    <t xml:space="preserve">Шпатлёвка стен под высококачественную покраску 2 слоя </t>
  </si>
  <si>
    <t>Шпатлёвка «Оптимист» S601, 9кг</t>
  </si>
  <si>
    <t>Поклейка стеклохолста на стены</t>
  </si>
  <si>
    <t>Стеклохолст SDGlass, 1x50 м, 40г/м2</t>
  </si>
  <si>
    <t>Покраска стен в.э краской 2 раза</t>
  </si>
  <si>
    <t>Краска стойкая к дезинфицирующим растворам для общественных помещений «White Line»,14 кг (цвет по согласованию)</t>
  </si>
  <si>
    <t xml:space="preserve">Профиль направляющий ПН*100/40, 3 м, толщина 0,6 мм </t>
  </si>
  <si>
    <t>Профиль стоечный ПС*100/50, 3 м, толщина 0,6 мм</t>
  </si>
  <si>
    <t>Плита минираловатная толщина 100 мм</t>
  </si>
  <si>
    <t>м/2</t>
  </si>
  <si>
    <t>Монтаж перегородок толщиной 125 мм из ГКЛ в один слой, с двух строн, на каркасе из оцинкованных металлтческих профилей со звукоизоляцией 100 мм, с заделкой швов лентой армирующей</t>
  </si>
  <si>
    <t>Устройство откосов из ГКЛ на каркасе из оцинкованных металлических профилей в один слой (двери)</t>
  </si>
  <si>
    <t>Грунтовка стен 1 слой</t>
  </si>
  <si>
    <t>Шпатлёвка стен под высококачественную покраску 1 слой (локально)</t>
  </si>
  <si>
    <t>Шлифовка стен перед покраской (локально)</t>
  </si>
  <si>
    <t>Потолок армстронг (Т-профиль, уголок для подвесного потолка белый, подвес, плитка потолочная Кассета ГРАНД ЛАЙН 595х595 Tegular 90° белый)</t>
  </si>
  <si>
    <t>Установка малярного уголка м/п</t>
  </si>
  <si>
    <t>Уголок малярный перфорированный, 3 м</t>
  </si>
  <si>
    <t>Цементная гидроизоляция обмазочного типа, 20 кг</t>
  </si>
  <si>
    <t>1,9 кг/м2 при толщине слоя 1 мм</t>
  </si>
  <si>
    <t>8.4</t>
  </si>
  <si>
    <t>8.5</t>
  </si>
  <si>
    <t>8.6</t>
  </si>
  <si>
    <t>8.7</t>
  </si>
  <si>
    <t>9.5</t>
  </si>
  <si>
    <t>9.6</t>
  </si>
  <si>
    <t xml:space="preserve">11.1 </t>
  </si>
  <si>
    <t>11.2</t>
  </si>
  <si>
    <t>11.6</t>
  </si>
  <si>
    <t>11.3</t>
  </si>
  <si>
    <t>11.4</t>
  </si>
  <si>
    <t>11.5</t>
  </si>
  <si>
    <t>17.1</t>
  </si>
  <si>
    <t>18.1</t>
  </si>
  <si>
    <t>20.1</t>
  </si>
  <si>
    <t>21.1</t>
  </si>
  <si>
    <t>22.1</t>
  </si>
  <si>
    <t>23.1</t>
  </si>
  <si>
    <t>25.1</t>
  </si>
  <si>
    <t>Монтаж перегородок толщиной 150 мм из ГКЛ в два слоя, с двух строн, на каркасе из оцинкованных металлтческих профилей со звукоизоляцией 100 мм, с заделкой швов лентой армирующей</t>
  </si>
  <si>
    <t>Обшивка стен гипсокартоном ГКЛ 12,5 мм в один слой  по каркасу из оцинкованных металлических профилей (колонны)  с заделкой швов лентой армирующей</t>
  </si>
  <si>
    <t>Профиль направляющий ПН*50/40, толщина 0,6 мм</t>
  </si>
  <si>
    <t>Профиль стоечный ПС*50/50, толщина 0,6 мм</t>
  </si>
  <si>
    <t>11.7</t>
  </si>
  <si>
    <t>Брус  хвойных пород 50х50</t>
  </si>
  <si>
    <t>Демонтаж облицовки стен из шифера по металлическому каркасу</t>
  </si>
  <si>
    <t>12.2</t>
  </si>
  <si>
    <t>12.3</t>
  </si>
  <si>
    <t>12.4</t>
  </si>
  <si>
    <t>12.5</t>
  </si>
  <si>
    <t>12.6</t>
  </si>
  <si>
    <t>14.2</t>
  </si>
  <si>
    <t>14.3</t>
  </si>
  <si>
    <t>14.4</t>
  </si>
  <si>
    <t>14.5</t>
  </si>
  <si>
    <t>14.6</t>
  </si>
  <si>
    <t>19.1</t>
  </si>
  <si>
    <t>24.1</t>
  </si>
  <si>
    <t>Помещение 313 общей площадью 119,45 м2</t>
  </si>
  <si>
    <t>Помещение 315-317 общей площадью 99,5 м2</t>
  </si>
  <si>
    <t>Дверь межкомнатная деревянная «эмаль FLAT глухая без притвора фабрики VellDoris» одностворчатая в комплекте 800х2000мм (с замком и наличниками с двух сторон, с телескопическими доборами и ограничителем открывания)</t>
  </si>
  <si>
    <t xml:space="preserve">Монтаж дверного блока деревянного </t>
  </si>
  <si>
    <t xml:space="preserve">Демонтаж дверного блока деревянного </t>
  </si>
  <si>
    <t>Обшивка стен гипсокартоном ГКЛ 12,5 мм в один слой  по каркасу из оцинкованных металлических профилей (внутренние стены)  с заделкой швов лентой армирующей</t>
  </si>
  <si>
    <t>Монтаж перегородок толщиной 150 мм из ГКЛ в два слоя, с двух строн, на каркасе из оцинкованных металлтческих профилей со звукоизоляцией 100 мм, с заделкой швов лентой армирующей (Защивка дверного проема в помещение 317)</t>
  </si>
  <si>
    <t>Грунтовка стен 1 слой (существующие стены из ГКЛ)</t>
  </si>
  <si>
    <t>26.1</t>
  </si>
  <si>
    <t>28.1</t>
  </si>
  <si>
    <t>Помещение 319 общей площадью 49 м2</t>
  </si>
  <si>
    <t xml:space="preserve">Укладка линолеума на клей </t>
  </si>
  <si>
    <t>Демонтаж штукатурки (дефектные участки сопряжение колонны и наружной стены)</t>
  </si>
  <si>
    <t>Дверь межкомнатная деревянная «эмаль FLAT глухая без притвора фабрики VellDoris» одностворчатая в комплекте 900х2000мм (с замком и наличниками с двух сторон, с телескопическими доборами и ограничителем открывания)</t>
  </si>
  <si>
    <t>Возможно только замена плиток</t>
  </si>
  <si>
    <t>Помещение 320 общей площадью 31,9 м2</t>
  </si>
  <si>
    <t>14.7</t>
  </si>
  <si>
    <t>Зачистка шпаклевки и окраски</t>
  </si>
  <si>
    <t xml:space="preserve">Укладка керамической плитки на стены </t>
  </si>
  <si>
    <t xml:space="preserve">Плитка керамическая белая </t>
  </si>
  <si>
    <t>21.2</t>
  </si>
  <si>
    <t>Клей плиточный UNIS 25 кг</t>
  </si>
  <si>
    <t>Помещение 316, 318 общей площадью 33,9 м2</t>
  </si>
  <si>
    <t>Начальник отдела №20  АО "НИИЭТ"</t>
  </si>
  <si>
    <t>________________ Меренков А.П.</t>
  </si>
  <si>
    <t>Демонтаж обшивки стен из ГКЛ (Расшиерение дверного проема в высоту до 2300 мм)</t>
  </si>
  <si>
    <t>Демонтаж линолеума</t>
  </si>
  <si>
    <t>Демонтаж ЦСП</t>
  </si>
  <si>
    <t xml:space="preserve">Укладка линолеума на клей, с проклейкой шва жгутом </t>
  </si>
  <si>
    <t>длина корридора+0,5 м</t>
  </si>
  <si>
    <t>периметр корридора+10%</t>
  </si>
  <si>
    <t>Потолок армстронг (Т-профиль, уголок для подвесного потолка белый, подвес, плитка потолочная Retail bord 600x600x12)</t>
  </si>
  <si>
    <t>Помещение коридора 3-го этажа в осях 6-26/Б-В  общей площадью 387 м2</t>
  </si>
  <si>
    <t>Полы в осях 6-12/Б-В</t>
  </si>
  <si>
    <t>Полы в осях 6-26/Б-В</t>
  </si>
  <si>
    <t>Огрунтование пола эпоксидной грунтовкой за два раза</t>
  </si>
  <si>
    <t>Стены в осях 6-12/Б-В и 20-26/Б-В</t>
  </si>
  <si>
    <t>Потолки в осях 12-26/Б-В</t>
  </si>
  <si>
    <t>Стены в осях 6-26/Б-В</t>
  </si>
  <si>
    <t>Демонтаж стяжки толщиной 50-60 мм до плиты перекрытия</t>
  </si>
  <si>
    <t>Смесь пескобетонная  М200 (песок+цемент)</t>
  </si>
  <si>
    <t>Фиброволокно, кг</t>
  </si>
  <si>
    <t>Устройство полусухой стяжки марки М200 с фиброволокном армированной сеткой 100х100х4  в картах связанных между собой вязальной проволкой (средней толщиной 80 мм)</t>
  </si>
  <si>
    <t xml:space="preserve">Сетка сварная 100х100х4 в картах </t>
  </si>
  <si>
    <t>Монтаж переносных пологов для выполнения пыльных работ</t>
  </si>
  <si>
    <t xml:space="preserve">Брус 50х50 хвойных пород </t>
  </si>
  <si>
    <t>Полиэтеленовая пленка 120 микрон</t>
  </si>
  <si>
    <t>Шлифование Мозаично-шлифовальной машиной с корундовыми или алмазными сегментами</t>
  </si>
  <si>
    <t>Обеспыливания поверхности пола перед грунтованием с использованием пылесоса</t>
  </si>
  <si>
    <t>Двухкомпонетный эпоксидный грунт порозаполняющий с растворителем в составе Элакор-ЭД Грунт-2К/ПР</t>
  </si>
  <si>
    <t>Шпатлевание стен за два раза (локально)</t>
  </si>
  <si>
    <t>Поклейка стеклохолста на стены (локально)</t>
  </si>
  <si>
    <t>к техническому заданию</t>
  </si>
  <si>
    <t>Ведомость объемов работ по ремонту помещений в осях А-Г/20-26, а так же к коридоре в осях Б-В/6-26  на 3 производственном этаже в здании АО «НИИЭТ»</t>
  </si>
  <si>
    <t xml:space="preserve">Приложение №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</si>
</sst>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2">
    <xf numFmtId="0" fontId="0" fillId="0" borderId="0"/>
    <xf numFmtId="0" fontId="6" fillId="0" borderId="0"/>
    <xf numFmtId="0" fontId="7" fillId="0" borderId="0"/>
    <xf numFmtId="0" fontId="5" fillId="0" borderId="1">
      <alignment horizontal="center"/>
    </xf>
    <xf numFmtId="0" fontId="7" fillId="0" borderId="0">
      <alignment vertical="top"/>
    </xf>
    <xf numFmtId="0" fontId="5" fillId="0" borderId="1">
      <alignment horizontal="center"/>
    </xf>
    <xf numFmtId="0" fontId="5" fillId="0" borderId="0">
      <alignment vertical="top"/>
    </xf>
    <xf numFmtId="0" fontId="5" fillId="0" borderId="0">
      <alignment horizontal="right" vertical="top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1">
      <alignment horizontal="center" wrapText="1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 applyFill="0" applyProtection="0"/>
    <xf numFmtId="0" fontId="5" fillId="0" borderId="0"/>
    <xf numFmtId="0" fontId="5" fillId="0" borderId="1">
      <alignment horizontal="center" wrapText="1"/>
    </xf>
    <xf numFmtId="0" fontId="5" fillId="0" borderId="1">
      <alignment horizontal="center"/>
    </xf>
    <xf numFmtId="0" fontId="5" fillId="0" borderId="1">
      <alignment horizontal="center" wrapText="1"/>
    </xf>
    <xf numFmtId="0" fontId="7" fillId="0" borderId="0"/>
    <xf numFmtId="0" fontId="5" fillId="0" borderId="0">
      <alignment horizontal="center"/>
    </xf>
    <xf numFmtId="0" fontId="5" fillId="0" borderId="0">
      <alignment horizontal="left" vertical="top"/>
    </xf>
    <xf numFmtId="0" fontId="5" fillId="0" borderId="0"/>
    <xf numFmtId="0" fontId="1" fillId="0" borderId="0"/>
    <xf numFmtId="0" fontId="7" fillId="0" borderId="0"/>
    <xf numFmtId="0" fontId="7" fillId="0" borderId="0" applyFill="0" applyProtection="0"/>
  </cellStyleXfs>
  <cellXfs count="205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/>
    <xf numFmtId="164" fontId="2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2" fillId="3" borderId="11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NumberFormat="1" applyFont="1" applyBorder="1"/>
    <xf numFmtId="0" fontId="4" fillId="0" borderId="1" xfId="0" applyNumberFormat="1" applyFont="1" applyBorder="1"/>
    <xf numFmtId="0" fontId="4" fillId="0" borderId="1" xfId="0" applyFont="1" applyBorder="1"/>
    <xf numFmtId="0" fontId="2" fillId="3" borderId="1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wrapText="1"/>
    </xf>
    <xf numFmtId="0" fontId="2" fillId="3" borderId="13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wrapText="1"/>
    </xf>
    <xf numFmtId="0" fontId="3" fillId="3" borderId="13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6" borderId="0" xfId="0" applyFill="1"/>
    <xf numFmtId="0" fontId="0" fillId="3" borderId="0" xfId="0" applyFill="1"/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/>
    <xf numFmtId="2" fontId="2" fillId="0" borderId="2" xfId="0" applyNumberFormat="1" applyFont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/>
    <xf numFmtId="0" fontId="2" fillId="3" borderId="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2" fontId="2" fillId="0" borderId="0" xfId="0" applyNumberFormat="1" applyFont="1" applyAlignment="1">
      <alignment horizontal="right" vertical="center"/>
    </xf>
    <xf numFmtId="2" fontId="2" fillId="3" borderId="2" xfId="0" applyNumberFormat="1" applyFont="1" applyFill="1" applyBorder="1" applyAlignment="1">
      <alignment horizontal="right" vertical="center" wrapText="1"/>
    </xf>
    <xf numFmtId="2" fontId="2" fillId="3" borderId="13" xfId="0" applyNumberFormat="1" applyFont="1" applyFill="1" applyBorder="1" applyAlignment="1">
      <alignment horizontal="right" vertical="center" wrapText="1"/>
    </xf>
    <xf numFmtId="2" fontId="2" fillId="3" borderId="3" xfId="0" applyNumberFormat="1" applyFont="1" applyFill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3" borderId="2" xfId="0" applyNumberFormat="1" applyFont="1" applyFill="1" applyBorder="1" applyAlignment="1">
      <alignment horizontal="right" vertical="center"/>
    </xf>
    <xf numFmtId="2" fontId="2" fillId="3" borderId="13" xfId="0" applyNumberFormat="1" applyFont="1" applyFill="1" applyBorder="1" applyAlignment="1">
      <alignment horizontal="right" vertical="center"/>
    </xf>
    <xf numFmtId="2" fontId="2" fillId="3" borderId="3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2" fontId="2" fillId="0" borderId="13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wrapText="1"/>
    </xf>
    <xf numFmtId="2" fontId="2" fillId="3" borderId="1" xfId="0" applyNumberFormat="1" applyFont="1" applyFill="1" applyBorder="1" applyAlignment="1"/>
    <xf numFmtId="2" fontId="2" fillId="3" borderId="1" xfId="0" applyNumberFormat="1" applyFont="1" applyFill="1" applyBorder="1" applyAlignment="1">
      <alignment vertical="center"/>
    </xf>
    <xf numFmtId="2" fontId="2" fillId="0" borderId="3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wrapText="1"/>
    </xf>
    <xf numFmtId="2" fontId="4" fillId="0" borderId="0" xfId="0" applyNumberFormat="1" applyFont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2" fillId="3" borderId="2" xfId="0" applyNumberFormat="1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2" fontId="2" fillId="3" borderId="0" xfId="0" applyNumberFormat="1" applyFont="1" applyFill="1" applyBorder="1" applyAlignment="1">
      <alignment horizontal="right" vertical="center" wrapText="1"/>
    </xf>
    <xf numFmtId="2" fontId="2" fillId="3" borderId="11" xfId="0" applyNumberFormat="1" applyFont="1" applyFill="1" applyBorder="1" applyAlignment="1">
      <alignment horizontal="right" vertical="center" wrapText="1"/>
    </xf>
    <xf numFmtId="2" fontId="2" fillId="3" borderId="2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vertical="center" wrapText="1"/>
    </xf>
    <xf numFmtId="2" fontId="2" fillId="3" borderId="14" xfId="0" applyNumberFormat="1" applyFont="1" applyFill="1" applyBorder="1" applyAlignment="1">
      <alignment horizontal="right" vertical="center" wrapText="1"/>
    </xf>
    <xf numFmtId="2" fontId="2" fillId="3" borderId="9" xfId="0" applyNumberFormat="1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left" vertical="center" wrapText="1"/>
    </xf>
    <xf numFmtId="2" fontId="2" fillId="3" borderId="7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wrapText="1"/>
    </xf>
    <xf numFmtId="0" fontId="2" fillId="2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</cellXfs>
  <cellStyles count="32">
    <cellStyle name="Акт" xfId="3"/>
    <cellStyle name="АктМТСН" xfId="4"/>
    <cellStyle name="ВедРесурсов" xfId="5"/>
    <cellStyle name="ВедРесурсовАкт" xfId="6"/>
    <cellStyle name="Итоги" xfId="7"/>
    <cellStyle name="ИтогоАктБазЦ" xfId="8"/>
    <cellStyle name="ИтогоАктБИМ" xfId="9"/>
    <cellStyle name="ИтогоАктРесМет" xfId="10"/>
    <cellStyle name="ИтогоАктТекЦ" xfId="11"/>
    <cellStyle name="ИтогоБазЦ" xfId="12"/>
    <cellStyle name="ИтогоБИМ" xfId="13"/>
    <cellStyle name="ИтогоРесМет" xfId="14"/>
    <cellStyle name="ИтогоТекЦ" xfId="15"/>
    <cellStyle name="ЛокСмета" xfId="16"/>
    <cellStyle name="ЛокСмМТСН" xfId="17"/>
    <cellStyle name="М29" xfId="18"/>
    <cellStyle name="ОбСмета" xfId="19"/>
    <cellStyle name="Обычный" xfId="0" builtinId="0"/>
    <cellStyle name="Обычный 2" xfId="1"/>
    <cellStyle name="Обычный 2 2" xfId="30"/>
    <cellStyle name="Обычный 2 3" xfId="31"/>
    <cellStyle name="Обычный 2 4" xfId="20"/>
    <cellStyle name="Обычный 3" xfId="29"/>
    <cellStyle name="Обычный 4" xfId="2"/>
    <cellStyle name="Параметр" xfId="21"/>
    <cellStyle name="ПеременныеСметы" xfId="22"/>
    <cellStyle name="РесСмета" xfId="23"/>
    <cellStyle name="СводкаСтоимРаб" xfId="24"/>
    <cellStyle name="СводРасч" xfId="25"/>
    <cellStyle name="Титул" xfId="26"/>
    <cellStyle name="Хвост" xfId="27"/>
    <cellStyle name="Экспертиза" xf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1"/>
  <sheetViews>
    <sheetView tabSelected="1" zoomScaleNormal="100" workbookViewId="0">
      <selection activeCell="J13" sqref="J13"/>
    </sheetView>
  </sheetViews>
  <sheetFormatPr defaultRowHeight="15" x14ac:dyDescent="0.25"/>
  <cols>
    <col min="1" max="1" width="5.42578125" style="117" customWidth="1"/>
    <col min="2" max="2" width="52" style="104" customWidth="1"/>
    <col min="3" max="3" width="7.28515625" style="117" customWidth="1"/>
    <col min="4" max="4" width="8" style="142" customWidth="1"/>
    <col min="5" max="5" width="6.28515625" style="118" customWidth="1"/>
    <col min="6" max="6" width="53.5703125" style="104" customWidth="1"/>
    <col min="7" max="7" width="8" style="104" customWidth="1"/>
    <col min="8" max="8" width="20.42578125" style="104" hidden="1" customWidth="1"/>
    <col min="9" max="9" width="10" style="152" customWidth="1"/>
    <col min="10" max="10" width="44" customWidth="1"/>
    <col min="12" max="12" width="28" customWidth="1"/>
    <col min="13" max="13" width="18" customWidth="1"/>
  </cols>
  <sheetData>
    <row r="1" spans="1:10" x14ac:dyDescent="0.25">
      <c r="A1" s="170" t="s">
        <v>255</v>
      </c>
      <c r="B1" s="170"/>
      <c r="C1" s="111"/>
      <c r="D1" s="130"/>
      <c r="E1" s="112"/>
      <c r="F1" s="171" t="s">
        <v>13</v>
      </c>
      <c r="G1" s="171"/>
      <c r="H1" s="171"/>
      <c r="I1" s="171"/>
    </row>
    <row r="2" spans="1:10" ht="16.5" customHeight="1" x14ac:dyDescent="0.25">
      <c r="A2" s="170" t="s">
        <v>253</v>
      </c>
      <c r="B2" s="170"/>
      <c r="C2" s="111"/>
      <c r="D2" s="130"/>
      <c r="E2" s="112"/>
      <c r="F2" s="171" t="s">
        <v>224</v>
      </c>
      <c r="G2" s="171"/>
      <c r="H2" s="171"/>
      <c r="I2" s="171"/>
    </row>
    <row r="3" spans="1:10" ht="20.25" customHeight="1" x14ac:dyDescent="0.25">
      <c r="A3" s="111"/>
      <c r="B3" s="103"/>
      <c r="C3" s="111"/>
      <c r="D3" s="130"/>
      <c r="E3" s="112"/>
      <c r="F3" s="171" t="s">
        <v>225</v>
      </c>
      <c r="G3" s="171"/>
      <c r="H3" s="171"/>
      <c r="I3" s="171"/>
    </row>
    <row r="4" spans="1:10" ht="21.75" customHeight="1" x14ac:dyDescent="0.25">
      <c r="A4" s="111"/>
      <c r="B4" s="103"/>
      <c r="C4" s="111"/>
      <c r="D4" s="130"/>
      <c r="E4" s="112"/>
      <c r="F4" s="171" t="s">
        <v>14</v>
      </c>
      <c r="G4" s="171"/>
      <c r="H4" s="171"/>
      <c r="I4" s="171"/>
    </row>
    <row r="5" spans="1:10" x14ac:dyDescent="0.25">
      <c r="A5" s="111"/>
      <c r="B5" s="103"/>
      <c r="C5" s="111"/>
      <c r="D5" s="130"/>
      <c r="E5" s="112"/>
      <c r="F5" s="103"/>
      <c r="G5" s="103"/>
      <c r="H5" s="103"/>
      <c r="I5" s="143"/>
    </row>
    <row r="6" spans="1:10" ht="23.25" customHeight="1" x14ac:dyDescent="0.25">
      <c r="A6" s="199" t="s">
        <v>254</v>
      </c>
      <c r="B6" s="199"/>
      <c r="C6" s="199"/>
      <c r="D6" s="199"/>
      <c r="E6" s="199"/>
      <c r="F6" s="199"/>
      <c r="G6" s="199"/>
      <c r="H6" s="199"/>
      <c r="I6" s="199"/>
    </row>
    <row r="7" spans="1:10" ht="15" customHeight="1" x14ac:dyDescent="0.25">
      <c r="A7" s="192" t="s">
        <v>0</v>
      </c>
      <c r="B7" s="192" t="s">
        <v>1</v>
      </c>
      <c r="C7" s="192" t="s">
        <v>2</v>
      </c>
      <c r="D7" s="193" t="s">
        <v>3</v>
      </c>
      <c r="E7" s="203" t="s">
        <v>27</v>
      </c>
      <c r="F7" s="195" t="s">
        <v>25</v>
      </c>
      <c r="G7" s="192" t="s">
        <v>26</v>
      </c>
      <c r="H7" s="195" t="s">
        <v>24</v>
      </c>
      <c r="I7" s="193" t="s">
        <v>3</v>
      </c>
      <c r="J7" s="187"/>
    </row>
    <row r="8" spans="1:10" ht="37.5" customHeight="1" x14ac:dyDescent="0.25">
      <c r="A8" s="192"/>
      <c r="B8" s="192"/>
      <c r="C8" s="192"/>
      <c r="D8" s="193"/>
      <c r="E8" s="204"/>
      <c r="F8" s="195"/>
      <c r="G8" s="192"/>
      <c r="H8" s="195"/>
      <c r="I8" s="193"/>
      <c r="J8" s="187"/>
    </row>
    <row r="9" spans="1:10" ht="21" customHeight="1" x14ac:dyDescent="0.25">
      <c r="A9" s="189" t="s">
        <v>233</v>
      </c>
      <c r="B9" s="190"/>
      <c r="C9" s="190"/>
      <c r="D9" s="190"/>
      <c r="E9" s="190"/>
      <c r="F9" s="190"/>
      <c r="G9" s="190"/>
      <c r="H9" s="190"/>
      <c r="I9" s="191"/>
    </row>
    <row r="10" spans="1:10" x14ac:dyDescent="0.25">
      <c r="A10" s="180" t="s">
        <v>234</v>
      </c>
      <c r="B10" s="181"/>
      <c r="C10" s="181"/>
      <c r="D10" s="181"/>
      <c r="E10" s="181"/>
      <c r="F10" s="181"/>
      <c r="G10" s="181"/>
      <c r="H10" s="181"/>
      <c r="I10" s="182"/>
    </row>
    <row r="11" spans="1:10" x14ac:dyDescent="0.25">
      <c r="A11" s="78">
        <v>1</v>
      </c>
      <c r="B11" s="81" t="s">
        <v>7</v>
      </c>
      <c r="C11" s="78" t="s">
        <v>10</v>
      </c>
      <c r="D11" s="97">
        <v>70</v>
      </c>
      <c r="E11" s="16"/>
      <c r="F11" s="17"/>
      <c r="G11" s="17"/>
      <c r="H11" s="17"/>
      <c r="I11" s="79"/>
    </row>
    <row r="12" spans="1:10" x14ac:dyDescent="0.25">
      <c r="A12" s="11">
        <v>2</v>
      </c>
      <c r="B12" s="119" t="s">
        <v>124</v>
      </c>
      <c r="C12" s="83" t="s">
        <v>10</v>
      </c>
      <c r="D12" s="131">
        <v>70</v>
      </c>
      <c r="E12" s="18"/>
      <c r="F12" s="15"/>
      <c r="G12" s="15"/>
      <c r="H12" s="15"/>
      <c r="I12" s="155"/>
    </row>
    <row r="13" spans="1:10" s="74" customFormat="1" x14ac:dyDescent="0.25">
      <c r="A13" s="200" t="s">
        <v>235</v>
      </c>
      <c r="B13" s="201"/>
      <c r="C13" s="201"/>
      <c r="D13" s="201"/>
      <c r="E13" s="201"/>
      <c r="F13" s="201"/>
      <c r="G13" s="201"/>
      <c r="H13" s="201"/>
      <c r="I13" s="202"/>
    </row>
    <row r="14" spans="1:10" s="74" customFormat="1" x14ac:dyDescent="0.25">
      <c r="A14" s="156">
        <v>1</v>
      </c>
      <c r="B14" s="81" t="s">
        <v>227</v>
      </c>
      <c r="C14" s="84" t="s">
        <v>4</v>
      </c>
      <c r="D14" s="157">
        <f t="shared" ref="D14:D23" si="0">8*6*3+7*6*3+6.5*6*3</f>
        <v>387</v>
      </c>
      <c r="E14" s="158"/>
      <c r="F14" s="158"/>
      <c r="G14" s="158"/>
      <c r="H14" s="158"/>
      <c r="I14" s="159"/>
    </row>
    <row r="15" spans="1:10" s="74" customFormat="1" x14ac:dyDescent="0.25">
      <c r="A15" s="156">
        <v>2</v>
      </c>
      <c r="B15" s="81" t="s">
        <v>228</v>
      </c>
      <c r="C15" s="84" t="s">
        <v>4</v>
      </c>
      <c r="D15" s="157">
        <f t="shared" si="0"/>
        <v>387</v>
      </c>
      <c r="E15" s="158"/>
      <c r="F15" s="158"/>
      <c r="G15" s="158"/>
      <c r="H15" s="158"/>
      <c r="I15" s="159"/>
    </row>
    <row r="16" spans="1:10" s="74" customFormat="1" x14ac:dyDescent="0.25">
      <c r="A16" s="156">
        <v>3</v>
      </c>
      <c r="B16" s="119" t="s">
        <v>240</v>
      </c>
      <c r="C16" s="47" t="s">
        <v>4</v>
      </c>
      <c r="D16" s="157">
        <f t="shared" si="0"/>
        <v>387</v>
      </c>
      <c r="E16" s="158"/>
      <c r="F16" s="158"/>
      <c r="G16" s="158"/>
      <c r="H16" s="158"/>
      <c r="I16" s="159"/>
    </row>
    <row r="17" spans="1:9" s="74" customFormat="1" ht="40.5" customHeight="1" x14ac:dyDescent="0.25">
      <c r="A17" s="11">
        <v>4</v>
      </c>
      <c r="B17" s="119" t="s">
        <v>243</v>
      </c>
      <c r="C17" s="83" t="s">
        <v>4</v>
      </c>
      <c r="D17" s="131">
        <f t="shared" si="0"/>
        <v>387</v>
      </c>
      <c r="E17" s="24" t="s">
        <v>37</v>
      </c>
      <c r="F17" s="77" t="s">
        <v>241</v>
      </c>
      <c r="G17" s="78" t="s">
        <v>93</v>
      </c>
      <c r="H17" s="79">
        <f>H16*0.07</f>
        <v>0</v>
      </c>
      <c r="I17" s="79">
        <f>D17*0.08</f>
        <v>30.96</v>
      </c>
    </row>
    <row r="18" spans="1:9" s="74" customFormat="1" ht="24" customHeight="1" x14ac:dyDescent="0.25">
      <c r="A18" s="12"/>
      <c r="B18" s="120"/>
      <c r="C18" s="47"/>
      <c r="D18" s="132"/>
      <c r="E18" s="24" t="s">
        <v>38</v>
      </c>
      <c r="F18" s="77" t="s">
        <v>244</v>
      </c>
      <c r="G18" s="78" t="s">
        <v>4</v>
      </c>
      <c r="H18" s="79"/>
      <c r="I18" s="79">
        <v>400</v>
      </c>
    </row>
    <row r="19" spans="1:9" s="74" customFormat="1" x14ac:dyDescent="0.25">
      <c r="A19" s="80"/>
      <c r="B19" s="31"/>
      <c r="C19" s="84"/>
      <c r="D19" s="133"/>
      <c r="E19" s="24" t="s">
        <v>62</v>
      </c>
      <c r="F19" s="77" t="s">
        <v>242</v>
      </c>
      <c r="G19" s="78" t="s">
        <v>59</v>
      </c>
      <c r="H19" s="79">
        <f>H16*0.05*0.75</f>
        <v>0</v>
      </c>
      <c r="I19" s="79">
        <f>D17*0.05*0.75</f>
        <v>14.512500000000001</v>
      </c>
    </row>
    <row r="20" spans="1:9" s="74" customFormat="1" ht="25.5" x14ac:dyDescent="0.25">
      <c r="A20" s="123">
        <v>5</v>
      </c>
      <c r="B20" s="31" t="s">
        <v>248</v>
      </c>
      <c r="C20" s="84" t="s">
        <v>4</v>
      </c>
      <c r="D20" s="160">
        <f t="shared" si="0"/>
        <v>387</v>
      </c>
      <c r="E20" s="30"/>
      <c r="F20" s="77"/>
      <c r="G20" s="78"/>
      <c r="H20" s="79"/>
      <c r="I20" s="79"/>
    </row>
    <row r="21" spans="1:9" s="74" customFormat="1" ht="25.5" x14ac:dyDescent="0.25">
      <c r="A21" s="156">
        <v>6</v>
      </c>
      <c r="B21" s="81" t="s">
        <v>249</v>
      </c>
      <c r="C21" s="84" t="s">
        <v>4</v>
      </c>
      <c r="D21" s="161">
        <f t="shared" si="0"/>
        <v>387</v>
      </c>
      <c r="E21" s="30"/>
      <c r="F21" s="77"/>
      <c r="G21" s="78"/>
      <c r="H21" s="79"/>
      <c r="I21" s="79"/>
    </row>
    <row r="22" spans="1:9" s="74" customFormat="1" ht="25.5" x14ac:dyDescent="0.25">
      <c r="A22" s="156">
        <v>7</v>
      </c>
      <c r="B22" s="119" t="s">
        <v>236</v>
      </c>
      <c r="C22" s="47" t="s">
        <v>4</v>
      </c>
      <c r="D22" s="97">
        <f t="shared" si="0"/>
        <v>387</v>
      </c>
      <c r="E22" s="24" t="s">
        <v>46</v>
      </c>
      <c r="F22" s="20" t="s">
        <v>250</v>
      </c>
      <c r="G22" s="17" t="s">
        <v>59</v>
      </c>
      <c r="H22" s="17"/>
      <c r="I22" s="10">
        <f>0.15*D22*2*1.08</f>
        <v>125.38800000000001</v>
      </c>
    </row>
    <row r="23" spans="1:9" s="74" customFormat="1" x14ac:dyDescent="0.25">
      <c r="A23" s="11">
        <v>8</v>
      </c>
      <c r="B23" s="119" t="s">
        <v>229</v>
      </c>
      <c r="C23" s="83" t="s">
        <v>4</v>
      </c>
      <c r="D23" s="131">
        <f t="shared" si="0"/>
        <v>387</v>
      </c>
      <c r="E23" s="24" t="s">
        <v>44</v>
      </c>
      <c r="F23" s="162" t="s">
        <v>30</v>
      </c>
      <c r="G23" s="15" t="s">
        <v>10</v>
      </c>
      <c r="H23" s="15" t="s">
        <v>230</v>
      </c>
      <c r="I23" s="163">
        <f>D23/3+3</f>
        <v>132</v>
      </c>
    </row>
    <row r="24" spans="1:9" s="74" customFormat="1" x14ac:dyDescent="0.25">
      <c r="A24" s="12"/>
      <c r="B24" s="120"/>
      <c r="C24" s="47"/>
      <c r="D24" s="132"/>
      <c r="E24" s="24" t="s">
        <v>115</v>
      </c>
      <c r="F24" s="162" t="s">
        <v>66</v>
      </c>
      <c r="G24" s="15" t="s">
        <v>10</v>
      </c>
      <c r="H24" s="15"/>
      <c r="I24" s="163">
        <f>6*3</f>
        <v>18</v>
      </c>
    </row>
    <row r="25" spans="1:9" s="74" customFormat="1" x14ac:dyDescent="0.25">
      <c r="A25" s="12"/>
      <c r="B25" s="120"/>
      <c r="C25" s="47"/>
      <c r="D25" s="132"/>
      <c r="E25" s="24" t="s">
        <v>116</v>
      </c>
      <c r="F25" s="162" t="s">
        <v>67</v>
      </c>
      <c r="G25" s="15" t="s">
        <v>11</v>
      </c>
      <c r="H25" s="15" t="s">
        <v>68</v>
      </c>
      <c r="I25" s="163">
        <f>D23/42</f>
        <v>9.2142857142857135</v>
      </c>
    </row>
    <row r="26" spans="1:9" s="74" customFormat="1" ht="25.5" x14ac:dyDescent="0.25">
      <c r="A26" s="11">
        <v>9</v>
      </c>
      <c r="B26" s="119" t="s">
        <v>8</v>
      </c>
      <c r="C26" s="83" t="s">
        <v>10</v>
      </c>
      <c r="D26" s="131">
        <f>70+159.05</f>
        <v>229.05</v>
      </c>
      <c r="E26" s="164" t="s">
        <v>45</v>
      </c>
      <c r="F26" s="20" t="s">
        <v>31</v>
      </c>
      <c r="G26" s="17" t="s">
        <v>10</v>
      </c>
      <c r="H26" s="20" t="s">
        <v>231</v>
      </c>
      <c r="I26" s="165">
        <f>D26*1.1</f>
        <v>251.95500000000004</v>
      </c>
    </row>
    <row r="27" spans="1:9" s="74" customFormat="1" ht="25.5" x14ac:dyDescent="0.25">
      <c r="A27" s="80"/>
      <c r="B27" s="31"/>
      <c r="C27" s="84"/>
      <c r="D27" s="133"/>
      <c r="E27" s="164" t="s">
        <v>110</v>
      </c>
      <c r="F27" s="20" t="s">
        <v>34</v>
      </c>
      <c r="G27" s="17" t="s">
        <v>11</v>
      </c>
      <c r="H27" s="20" t="s">
        <v>35</v>
      </c>
      <c r="I27" s="165">
        <f>I26*3</f>
        <v>755.86500000000012</v>
      </c>
    </row>
    <row r="28" spans="1:9" ht="15" customHeight="1" x14ac:dyDescent="0.25">
      <c r="A28" s="194" t="s">
        <v>237</v>
      </c>
      <c r="B28" s="184"/>
      <c r="C28" s="184"/>
      <c r="D28" s="184"/>
      <c r="E28" s="181"/>
      <c r="F28" s="181"/>
      <c r="G28" s="181"/>
      <c r="H28" s="181"/>
      <c r="I28" s="182"/>
    </row>
    <row r="29" spans="1:9" x14ac:dyDescent="0.25">
      <c r="A29" s="47">
        <v>1</v>
      </c>
      <c r="B29" s="25" t="s">
        <v>119</v>
      </c>
      <c r="C29" s="47" t="s">
        <v>10</v>
      </c>
      <c r="D29" s="166">
        <v>40</v>
      </c>
      <c r="E29" s="30" t="s">
        <v>86</v>
      </c>
      <c r="F29" s="20" t="s">
        <v>58</v>
      </c>
      <c r="G29" s="17" t="s">
        <v>11</v>
      </c>
      <c r="H29" s="17" t="s">
        <v>63</v>
      </c>
      <c r="I29" s="79">
        <v>44</v>
      </c>
    </row>
    <row r="30" spans="1:9" x14ac:dyDescent="0.25">
      <c r="A30" s="84"/>
      <c r="B30" s="114"/>
      <c r="C30" s="84"/>
      <c r="D30" s="167"/>
      <c r="E30" s="30" t="s">
        <v>87</v>
      </c>
      <c r="F30" s="20" t="s">
        <v>60</v>
      </c>
      <c r="G30" s="17" t="s">
        <v>59</v>
      </c>
      <c r="H30" s="17" t="s">
        <v>64</v>
      </c>
      <c r="I30" s="79">
        <f>D29*0.15</f>
        <v>6</v>
      </c>
    </row>
    <row r="31" spans="1:9" s="74" customFormat="1" x14ac:dyDescent="0.25">
      <c r="A31" s="180" t="s">
        <v>239</v>
      </c>
      <c r="B31" s="181"/>
      <c r="C31" s="181"/>
      <c r="D31" s="181"/>
      <c r="E31" s="181"/>
      <c r="F31" s="181"/>
      <c r="G31" s="181"/>
      <c r="H31" s="181"/>
      <c r="I31" s="182"/>
    </row>
    <row r="32" spans="1:9" s="74" customFormat="1" x14ac:dyDescent="0.25">
      <c r="A32" s="35">
        <v>1</v>
      </c>
      <c r="B32" s="62" t="s">
        <v>5</v>
      </c>
      <c r="C32" s="63" t="s">
        <v>4</v>
      </c>
      <c r="D32" s="110">
        <f>120*2*2.63-1.45*2.123-1.452*2.103-1.361*2.103-1.458*2.113-1.444*2.095-1.452*2.121-1.447*2.101-1.047*2.103-1.047*2.086-1.458*2.113-1.455*2.112-1.459*2.113-1.458*2.113-1.047*2.1-1.427*2.273*2-8*0.5*2.63-1.4*2.1*4-2.12*2*2-3*4.5*1</f>
        <v>540.33107800000028</v>
      </c>
      <c r="E32" s="33" t="s">
        <v>86</v>
      </c>
      <c r="F32" s="37" t="s">
        <v>43</v>
      </c>
      <c r="G32" s="38" t="s">
        <v>11</v>
      </c>
      <c r="H32" s="37" t="s">
        <v>61</v>
      </c>
      <c r="I32" s="145">
        <f>(D32*2*0.14)/10</f>
        <v>15.12927018400001</v>
      </c>
    </row>
    <row r="33" spans="1:9" s="74" customFormat="1" x14ac:dyDescent="0.25">
      <c r="A33" s="35">
        <v>2</v>
      </c>
      <c r="B33" s="77" t="s">
        <v>252</v>
      </c>
      <c r="C33" s="78" t="s">
        <v>4</v>
      </c>
      <c r="D33" s="108">
        <f>D32/2</f>
        <v>270.16553900000014</v>
      </c>
      <c r="E33" s="42" t="s">
        <v>53</v>
      </c>
      <c r="F33" s="77" t="s">
        <v>146</v>
      </c>
      <c r="G33" s="78" t="s">
        <v>4</v>
      </c>
      <c r="H33" s="79"/>
      <c r="I33" s="79">
        <f>D33*1.1</f>
        <v>297.18209290000016</v>
      </c>
    </row>
    <row r="34" spans="1:9" s="74" customFormat="1" x14ac:dyDescent="0.25">
      <c r="A34" s="35">
        <v>3</v>
      </c>
      <c r="B34" s="36" t="s">
        <v>251</v>
      </c>
      <c r="C34" s="35" t="s">
        <v>4</v>
      </c>
      <c r="D34" s="109">
        <f>D32/2</f>
        <v>270.16553900000014</v>
      </c>
      <c r="E34" s="42" t="s">
        <v>28</v>
      </c>
      <c r="F34" s="41" t="s">
        <v>52</v>
      </c>
      <c r="G34" s="34" t="s">
        <v>11</v>
      </c>
      <c r="H34" s="41" t="s">
        <v>51</v>
      </c>
      <c r="I34" s="145">
        <f>(D34*0.48*2)/18</f>
        <v>14.408828746666675</v>
      </c>
    </row>
    <row r="35" spans="1:9" s="74" customFormat="1" x14ac:dyDescent="0.25">
      <c r="A35" s="35">
        <v>4</v>
      </c>
      <c r="B35" s="81" t="s">
        <v>65</v>
      </c>
      <c r="C35" s="35" t="s">
        <v>4</v>
      </c>
      <c r="D35" s="109">
        <f>D32/2</f>
        <v>270.16553900000014</v>
      </c>
      <c r="E35" s="33"/>
      <c r="F35" s="128"/>
      <c r="G35" s="38"/>
      <c r="H35" s="37"/>
      <c r="I35" s="146"/>
    </row>
    <row r="36" spans="1:9" s="74" customFormat="1" x14ac:dyDescent="0.25">
      <c r="A36" s="35">
        <v>5</v>
      </c>
      <c r="B36" s="36" t="s">
        <v>6</v>
      </c>
      <c r="C36" s="63" t="s">
        <v>4</v>
      </c>
      <c r="D36" s="109">
        <f>D32</f>
        <v>540.33107800000028</v>
      </c>
      <c r="E36" s="33" t="s">
        <v>29</v>
      </c>
      <c r="F36" s="129" t="s">
        <v>49</v>
      </c>
      <c r="G36" s="60" t="s">
        <v>11</v>
      </c>
      <c r="H36" s="37" t="s">
        <v>50</v>
      </c>
      <c r="I36" s="146">
        <f>(D36*0.15*2)/14.5</f>
        <v>11.179263682758627</v>
      </c>
    </row>
    <row r="37" spans="1:9" ht="18.75" customHeight="1" x14ac:dyDescent="0.25">
      <c r="A37" s="197" t="s">
        <v>238</v>
      </c>
      <c r="B37" s="197"/>
      <c r="C37" s="197"/>
      <c r="D37" s="197"/>
      <c r="E37" s="197"/>
      <c r="F37" s="197"/>
      <c r="G37" s="197"/>
      <c r="H37" s="197"/>
      <c r="I37" s="197"/>
    </row>
    <row r="38" spans="1:9" s="74" customFormat="1" ht="29.25" customHeight="1" x14ac:dyDescent="0.25">
      <c r="A38" s="11">
        <v>1</v>
      </c>
      <c r="B38" s="168" t="s">
        <v>9</v>
      </c>
      <c r="C38" s="83" t="s">
        <v>4</v>
      </c>
      <c r="D38" s="131">
        <f>8*6*3+7*6*3</f>
        <v>270</v>
      </c>
      <c r="E38" s="30" t="s">
        <v>86</v>
      </c>
      <c r="F38" s="169" t="s">
        <v>232</v>
      </c>
      <c r="G38" s="17" t="s">
        <v>4</v>
      </c>
      <c r="H38" s="17"/>
      <c r="I38" s="79">
        <f>D38</f>
        <v>270</v>
      </c>
    </row>
    <row r="39" spans="1:9" s="74" customFormat="1" ht="19.5" customHeight="1" x14ac:dyDescent="0.25">
      <c r="A39" s="80"/>
      <c r="B39" s="69"/>
      <c r="C39" s="84"/>
      <c r="D39" s="133"/>
      <c r="E39" s="30" t="s">
        <v>87</v>
      </c>
      <c r="F39" s="169" t="s">
        <v>71</v>
      </c>
      <c r="G39" s="17" t="s">
        <v>11</v>
      </c>
      <c r="H39" s="17"/>
      <c r="I39" s="10">
        <v>4</v>
      </c>
    </row>
    <row r="40" spans="1:9" x14ac:dyDescent="0.25">
      <c r="A40" s="196" t="s">
        <v>18</v>
      </c>
      <c r="B40" s="196"/>
      <c r="C40" s="196"/>
      <c r="D40" s="196"/>
      <c r="E40" s="196"/>
      <c r="F40" s="196"/>
      <c r="G40" s="196"/>
      <c r="H40" s="196"/>
      <c r="I40" s="196"/>
    </row>
    <row r="41" spans="1:9" x14ac:dyDescent="0.25">
      <c r="A41" s="121">
        <v>1</v>
      </c>
      <c r="B41" s="153" t="s">
        <v>19</v>
      </c>
      <c r="C41" s="121" t="s">
        <v>20</v>
      </c>
      <c r="D41" s="135">
        <f>387*0.08*1.8</f>
        <v>55.728000000000002</v>
      </c>
      <c r="E41" s="65"/>
      <c r="F41" s="64"/>
      <c r="G41" s="64"/>
      <c r="H41" s="64"/>
      <c r="I41" s="147"/>
    </row>
    <row r="42" spans="1:9" x14ac:dyDescent="0.25">
      <c r="A42" s="121">
        <f>A41+1</f>
        <v>2</v>
      </c>
      <c r="B42" s="153" t="s">
        <v>245</v>
      </c>
      <c r="C42" s="121" t="s">
        <v>4</v>
      </c>
      <c r="D42" s="135">
        <v>18</v>
      </c>
      <c r="E42" s="46" t="s">
        <v>53</v>
      </c>
      <c r="F42" s="64" t="s">
        <v>246</v>
      </c>
      <c r="G42" s="64" t="s">
        <v>10</v>
      </c>
      <c r="H42" s="64"/>
      <c r="I42" s="147">
        <v>30</v>
      </c>
    </row>
    <row r="43" spans="1:9" s="74" customFormat="1" x14ac:dyDescent="0.25">
      <c r="A43" s="60"/>
      <c r="B43" s="154"/>
      <c r="C43" s="60"/>
      <c r="D43" s="137"/>
      <c r="E43" s="46" t="s">
        <v>70</v>
      </c>
      <c r="F43" s="64" t="s">
        <v>247</v>
      </c>
      <c r="G43" s="64" t="s">
        <v>4</v>
      </c>
      <c r="H43" s="64"/>
      <c r="I43" s="147">
        <v>300</v>
      </c>
    </row>
    <row r="44" spans="1:9" s="2" customFormat="1" ht="25.5" x14ac:dyDescent="0.25">
      <c r="A44" s="60">
        <v>3</v>
      </c>
      <c r="B44" s="154" t="s">
        <v>81</v>
      </c>
      <c r="C44" s="60" t="s">
        <v>11</v>
      </c>
      <c r="D44" s="137">
        <v>1</v>
      </c>
      <c r="E44" s="65"/>
      <c r="F44" s="64"/>
      <c r="G44" s="64"/>
      <c r="H44" s="64"/>
      <c r="I44" s="147"/>
    </row>
    <row r="45" spans="1:9" s="74" customFormat="1" x14ac:dyDescent="0.25">
      <c r="A45" s="173" t="s">
        <v>125</v>
      </c>
      <c r="B45" s="173"/>
      <c r="C45" s="173"/>
      <c r="D45" s="173"/>
      <c r="E45" s="173"/>
      <c r="F45" s="173"/>
      <c r="G45" s="173"/>
      <c r="H45" s="173"/>
      <c r="I45" s="173"/>
    </row>
    <row r="46" spans="1:9" s="74" customFormat="1" x14ac:dyDescent="0.25">
      <c r="A46" s="180" t="s">
        <v>15</v>
      </c>
      <c r="B46" s="181"/>
      <c r="C46" s="181"/>
      <c r="D46" s="181"/>
      <c r="E46" s="181"/>
      <c r="F46" s="181"/>
      <c r="G46" s="181"/>
      <c r="H46" s="181"/>
      <c r="I46" s="182"/>
    </row>
    <row r="47" spans="1:9" s="74" customFormat="1" x14ac:dyDescent="0.25">
      <c r="A47" s="11">
        <f>1</f>
        <v>1</v>
      </c>
      <c r="B47" s="106" t="s">
        <v>126</v>
      </c>
      <c r="C47" s="83" t="s">
        <v>4</v>
      </c>
      <c r="D47" s="131">
        <f>9.113*3.29+4.3*2.83</f>
        <v>42.150769999999994</v>
      </c>
      <c r="E47" s="16"/>
      <c r="F47" s="17"/>
      <c r="G47" s="17"/>
      <c r="H47" s="17"/>
      <c r="I47" s="79"/>
    </row>
    <row r="48" spans="1:9" s="74" customFormat="1" x14ac:dyDescent="0.25">
      <c r="A48" s="76">
        <f t="shared" ref="A48:A52" si="1">A47+1</f>
        <v>2</v>
      </c>
      <c r="B48" s="106" t="s">
        <v>114</v>
      </c>
      <c r="C48" s="78" t="s">
        <v>4</v>
      </c>
      <c r="D48" s="131">
        <f>9.113*3.29+4.3*2.83</f>
        <v>42.150769999999994</v>
      </c>
      <c r="E48" s="18"/>
      <c r="F48" s="15"/>
      <c r="G48" s="15"/>
      <c r="H48" s="17"/>
      <c r="I48" s="79"/>
    </row>
    <row r="49" spans="1:10" s="74" customFormat="1" ht="38.25" x14ac:dyDescent="0.25">
      <c r="A49" s="76">
        <f>A48+1</f>
        <v>3</v>
      </c>
      <c r="B49" s="81" t="s">
        <v>121</v>
      </c>
      <c r="C49" s="83" t="s">
        <v>4</v>
      </c>
      <c r="D49" s="131">
        <f>9.113*3.29+4.3*2.83</f>
        <v>42.150769999999994</v>
      </c>
      <c r="E49" s="19" t="s">
        <v>28</v>
      </c>
      <c r="F49" s="20" t="s">
        <v>104</v>
      </c>
      <c r="G49" s="17" t="s">
        <v>11</v>
      </c>
      <c r="H49" s="17" t="s">
        <v>105</v>
      </c>
      <c r="I49" s="148">
        <f>(D49*1.6*5)/20</f>
        <v>16.860308</v>
      </c>
    </row>
    <row r="50" spans="1:10" s="74" customFormat="1" x14ac:dyDescent="0.25">
      <c r="A50" s="76">
        <f t="shared" si="1"/>
        <v>4</v>
      </c>
      <c r="B50" s="81" t="s">
        <v>92</v>
      </c>
      <c r="C50" s="83" t="s">
        <v>4</v>
      </c>
      <c r="D50" s="131">
        <f>9.113*3.29+4.3*2.83</f>
        <v>42.150769999999994</v>
      </c>
      <c r="E50" s="19" t="s">
        <v>37</v>
      </c>
      <c r="F50" s="20" t="s">
        <v>102</v>
      </c>
      <c r="G50" s="17" t="s">
        <v>59</v>
      </c>
      <c r="H50" s="17" t="s">
        <v>106</v>
      </c>
      <c r="I50" s="148">
        <f>D50*0.15</f>
        <v>6.3226154999999986</v>
      </c>
    </row>
    <row r="51" spans="1:10" s="74" customFormat="1" x14ac:dyDescent="0.25">
      <c r="A51" s="11">
        <f t="shared" si="1"/>
        <v>5</v>
      </c>
      <c r="B51" s="106" t="s">
        <v>113</v>
      </c>
      <c r="C51" s="83" t="s">
        <v>10</v>
      </c>
      <c r="D51" s="131">
        <f>9.113*2+4.3*2+3.29*7+2.83*2</f>
        <v>55.516000000000005</v>
      </c>
      <c r="E51" s="19" t="s">
        <v>29</v>
      </c>
      <c r="F51" s="20" t="s">
        <v>103</v>
      </c>
      <c r="G51" s="17" t="s">
        <v>10</v>
      </c>
      <c r="H51" s="21"/>
      <c r="I51" s="148">
        <f>D51</f>
        <v>55.516000000000005</v>
      </c>
    </row>
    <row r="52" spans="1:10" s="74" customFormat="1" ht="25.5" x14ac:dyDescent="0.25">
      <c r="A52" s="11">
        <f t="shared" si="1"/>
        <v>6</v>
      </c>
      <c r="B52" s="22" t="s">
        <v>122</v>
      </c>
      <c r="C52" s="23" t="s">
        <v>4</v>
      </c>
      <c r="D52" s="131">
        <f>9.113*3.29+4.3*2.83</f>
        <v>42.150769999999994</v>
      </c>
      <c r="E52" s="24" t="s">
        <v>32</v>
      </c>
      <c r="F52" s="20" t="s">
        <v>123</v>
      </c>
      <c r="G52" s="17" t="s">
        <v>4</v>
      </c>
      <c r="H52" s="21"/>
      <c r="I52" s="148">
        <f>D52*1.1</f>
        <v>46.365846999999995</v>
      </c>
    </row>
    <row r="53" spans="1:10" s="74" customFormat="1" x14ac:dyDescent="0.25">
      <c r="A53" s="12"/>
      <c r="B53" s="25"/>
      <c r="C53" s="26"/>
      <c r="D53" s="132"/>
      <c r="E53" s="24" t="s">
        <v>33</v>
      </c>
      <c r="F53" s="20" t="s">
        <v>107</v>
      </c>
      <c r="G53" s="17" t="s">
        <v>59</v>
      </c>
      <c r="H53" s="21" t="s">
        <v>108</v>
      </c>
      <c r="I53" s="148">
        <f>D52*0.25</f>
        <v>10.537692499999999</v>
      </c>
    </row>
    <row r="54" spans="1:10" s="74" customFormat="1" x14ac:dyDescent="0.25">
      <c r="A54" s="80"/>
      <c r="B54" s="25"/>
      <c r="C54" s="27"/>
      <c r="D54" s="133"/>
      <c r="E54" s="24" t="s">
        <v>94</v>
      </c>
      <c r="F54" s="20" t="s">
        <v>66</v>
      </c>
      <c r="G54" s="17" t="s">
        <v>10</v>
      </c>
      <c r="H54" s="15"/>
      <c r="I54" s="148">
        <f>9.113+4.3</f>
        <v>13.413</v>
      </c>
    </row>
    <row r="55" spans="1:10" s="74" customFormat="1" ht="25.5" x14ac:dyDescent="0.25">
      <c r="A55" s="123">
        <f>A52+1</f>
        <v>7</v>
      </c>
      <c r="B55" s="106" t="s">
        <v>8</v>
      </c>
      <c r="C55" s="29" t="s">
        <v>10</v>
      </c>
      <c r="D55" s="132">
        <f>(9.113+3.29+4.3+2.83)*2-1.4-0.85</f>
        <v>36.816000000000003</v>
      </c>
      <c r="E55" s="30" t="s">
        <v>46</v>
      </c>
      <c r="F55" s="20" t="s">
        <v>31</v>
      </c>
      <c r="G55" s="17" t="s">
        <v>10</v>
      </c>
      <c r="H55" s="20" t="s">
        <v>69</v>
      </c>
      <c r="I55" s="148">
        <f>D55*1.05</f>
        <v>38.656800000000004</v>
      </c>
    </row>
    <row r="56" spans="1:10" s="74" customFormat="1" ht="25.5" x14ac:dyDescent="0.25">
      <c r="A56" s="123"/>
      <c r="B56" s="107"/>
      <c r="C56" s="29"/>
      <c r="D56" s="132"/>
      <c r="E56" s="30" t="s">
        <v>47</v>
      </c>
      <c r="F56" s="20" t="s">
        <v>34</v>
      </c>
      <c r="G56" s="17" t="s">
        <v>11</v>
      </c>
      <c r="H56" s="20" t="s">
        <v>35</v>
      </c>
      <c r="I56" s="148">
        <f>(I55-5.085*1.5)*3*1.15</f>
        <v>107.05108500000001</v>
      </c>
    </row>
    <row r="57" spans="1:10" s="74" customFormat="1" ht="25.5" x14ac:dyDescent="0.25">
      <c r="A57" s="124"/>
      <c r="B57" s="31"/>
      <c r="C57" s="32"/>
      <c r="D57" s="133"/>
      <c r="E57" s="30" t="s">
        <v>48</v>
      </c>
      <c r="F57" s="20" t="s">
        <v>118</v>
      </c>
      <c r="G57" s="17" t="s">
        <v>11</v>
      </c>
      <c r="H57" s="20" t="s">
        <v>36</v>
      </c>
      <c r="I57" s="148">
        <f>5.085*3*1.5</f>
        <v>22.8825</v>
      </c>
    </row>
    <row r="58" spans="1:10" x14ac:dyDescent="0.25">
      <c r="A58" s="180" t="s">
        <v>16</v>
      </c>
      <c r="B58" s="181"/>
      <c r="C58" s="181"/>
      <c r="D58" s="181"/>
      <c r="E58" s="181"/>
      <c r="F58" s="181"/>
      <c r="G58" s="181"/>
      <c r="H58" s="181"/>
      <c r="I58" s="182"/>
      <c r="J58" s="3"/>
    </row>
    <row r="59" spans="1:10" x14ac:dyDescent="0.25">
      <c r="A59" s="78">
        <v>1</v>
      </c>
      <c r="B59" s="81" t="s">
        <v>127</v>
      </c>
      <c r="C59" s="78" t="s">
        <v>4</v>
      </c>
      <c r="D59" s="97">
        <f>(3.29+2.83)*1*0.6</f>
        <v>3.6719999999999997</v>
      </c>
      <c r="E59" s="33"/>
      <c r="F59" s="34"/>
      <c r="G59" s="34"/>
      <c r="H59" s="34"/>
      <c r="I59" s="148"/>
      <c r="J59" s="3"/>
    </row>
    <row r="60" spans="1:10" x14ac:dyDescent="0.25">
      <c r="A60" s="78">
        <v>2</v>
      </c>
      <c r="B60" s="36" t="s">
        <v>23</v>
      </c>
      <c r="C60" s="78" t="s">
        <v>4</v>
      </c>
      <c r="D60" s="97">
        <f t="shared" ref="D60:D63" si="2">(3.29+2.83)*1*0.6</f>
        <v>3.6719999999999997</v>
      </c>
      <c r="E60" s="33" t="s">
        <v>53</v>
      </c>
      <c r="F60" s="37" t="s">
        <v>43</v>
      </c>
      <c r="G60" s="38" t="s">
        <v>11</v>
      </c>
      <c r="H60" s="37" t="s">
        <v>61</v>
      </c>
      <c r="I60" s="148">
        <f>(D60*0.14)/10</f>
        <v>5.1407999999999995E-2</v>
      </c>
    </row>
    <row r="61" spans="1:10" s="2" customFormat="1" ht="25.5" x14ac:dyDescent="0.25">
      <c r="A61" s="78">
        <v>3</v>
      </c>
      <c r="B61" s="36" t="s">
        <v>129</v>
      </c>
      <c r="C61" s="78" t="s">
        <v>4</v>
      </c>
      <c r="D61" s="97">
        <f t="shared" si="2"/>
        <v>3.6719999999999997</v>
      </c>
      <c r="E61" s="39" t="s">
        <v>28</v>
      </c>
      <c r="F61" s="40" t="s">
        <v>161</v>
      </c>
      <c r="G61" s="28" t="s">
        <v>11</v>
      </c>
      <c r="H61" s="40" t="s">
        <v>162</v>
      </c>
      <c r="I61" s="148">
        <f>(D61*1.9*5)/20</f>
        <v>1.7441999999999998</v>
      </c>
    </row>
    <row r="62" spans="1:10" s="2" customFormat="1" ht="25.5" x14ac:dyDescent="0.25">
      <c r="A62" s="78">
        <v>4</v>
      </c>
      <c r="B62" s="81" t="s">
        <v>128</v>
      </c>
      <c r="C62" s="35" t="s">
        <v>4</v>
      </c>
      <c r="D62" s="97">
        <f t="shared" si="2"/>
        <v>3.6719999999999997</v>
      </c>
      <c r="E62" s="33" t="s">
        <v>37</v>
      </c>
      <c r="F62" s="41" t="s">
        <v>130</v>
      </c>
      <c r="G62" s="34" t="s">
        <v>59</v>
      </c>
      <c r="H62" s="34" t="s">
        <v>80</v>
      </c>
      <c r="I62" s="148">
        <f>D62*25</f>
        <v>91.8</v>
      </c>
    </row>
    <row r="63" spans="1:10" s="2" customFormat="1" x14ac:dyDescent="0.25">
      <c r="A63" s="78">
        <f t="shared" ref="A63:A99" si="3">A62+1</f>
        <v>5</v>
      </c>
      <c r="B63" s="36" t="s">
        <v>23</v>
      </c>
      <c r="C63" s="35" t="s">
        <v>4</v>
      </c>
      <c r="D63" s="97">
        <f t="shared" si="2"/>
        <v>3.6719999999999997</v>
      </c>
      <c r="E63" s="33" t="s">
        <v>29</v>
      </c>
      <c r="F63" s="37" t="s">
        <v>43</v>
      </c>
      <c r="G63" s="38" t="s">
        <v>11</v>
      </c>
      <c r="H63" s="37" t="s">
        <v>61</v>
      </c>
      <c r="I63" s="148">
        <f>(D63*0.14)/10</f>
        <v>5.1407999999999995E-2</v>
      </c>
    </row>
    <row r="64" spans="1:10" s="2" customFormat="1" x14ac:dyDescent="0.25">
      <c r="A64" s="78">
        <f t="shared" si="3"/>
        <v>6</v>
      </c>
      <c r="B64" s="36" t="s">
        <v>131</v>
      </c>
      <c r="C64" s="35" t="s">
        <v>4</v>
      </c>
      <c r="D64" s="97">
        <f>(3.29+2.83)*1</f>
        <v>6.12</v>
      </c>
      <c r="E64" s="42" t="s">
        <v>32</v>
      </c>
      <c r="F64" s="41" t="s">
        <v>52</v>
      </c>
      <c r="G64" s="34" t="s">
        <v>11</v>
      </c>
      <c r="H64" s="41" t="s">
        <v>51</v>
      </c>
      <c r="I64" s="148">
        <f>(D64*0.48)/18</f>
        <v>0.16319999999999998</v>
      </c>
    </row>
    <row r="65" spans="1:9" s="2" customFormat="1" x14ac:dyDescent="0.25">
      <c r="A65" s="78">
        <v>7</v>
      </c>
      <c r="B65" s="36" t="s">
        <v>132</v>
      </c>
      <c r="C65" s="35" t="s">
        <v>4</v>
      </c>
      <c r="D65" s="97">
        <f>(3.29+2.83)*1</f>
        <v>6.12</v>
      </c>
      <c r="E65" s="42" t="s">
        <v>46</v>
      </c>
      <c r="F65" s="43" t="s">
        <v>49</v>
      </c>
      <c r="G65" s="44" t="s">
        <v>11</v>
      </c>
      <c r="H65" s="41" t="s">
        <v>50</v>
      </c>
      <c r="I65" s="148">
        <f>(D65*0.15)/14.5</f>
        <v>6.3310344827586199E-2</v>
      </c>
    </row>
    <row r="66" spans="1:9" s="2" customFormat="1" x14ac:dyDescent="0.25">
      <c r="A66" s="83">
        <v>8</v>
      </c>
      <c r="B66" s="185" t="s">
        <v>154</v>
      </c>
      <c r="C66" s="45" t="s">
        <v>10</v>
      </c>
      <c r="D66" s="131">
        <f>1.452+4*2.121+0.85</f>
        <v>10.786</v>
      </c>
      <c r="E66" s="46" t="s">
        <v>44</v>
      </c>
      <c r="F66" s="41" t="s">
        <v>82</v>
      </c>
      <c r="G66" s="44" t="s">
        <v>11</v>
      </c>
      <c r="H66" s="41"/>
      <c r="I66" s="148">
        <f>(D66*0.15)/3.6</f>
        <v>0.44941666666666663</v>
      </c>
    </row>
    <row r="67" spans="1:9" s="2" customFormat="1" x14ac:dyDescent="0.25">
      <c r="A67" s="47"/>
      <c r="B67" s="186"/>
      <c r="C67" s="48"/>
      <c r="D67" s="134"/>
      <c r="E67" s="46" t="s">
        <v>115</v>
      </c>
      <c r="F67" s="41" t="s">
        <v>83</v>
      </c>
      <c r="G67" s="44" t="s">
        <v>11</v>
      </c>
      <c r="H67" s="41"/>
      <c r="I67" s="148">
        <v>4</v>
      </c>
    </row>
    <row r="68" spans="1:9" s="2" customFormat="1" x14ac:dyDescent="0.25">
      <c r="A68" s="47"/>
      <c r="B68" s="49"/>
      <c r="C68" s="48"/>
      <c r="D68" s="134"/>
      <c r="E68" s="46" t="s">
        <v>116</v>
      </c>
      <c r="F68" s="41" t="s">
        <v>84</v>
      </c>
      <c r="G68" s="44" t="s">
        <v>11</v>
      </c>
      <c r="H68" s="41"/>
      <c r="I68" s="148">
        <v>2</v>
      </c>
    </row>
    <row r="69" spans="1:9" s="2" customFormat="1" x14ac:dyDescent="0.25">
      <c r="A69" s="47"/>
      <c r="B69" s="49"/>
      <c r="C69" s="48"/>
      <c r="D69" s="134"/>
      <c r="E69" s="46" t="s">
        <v>163</v>
      </c>
      <c r="F69" s="41" t="s">
        <v>39</v>
      </c>
      <c r="G69" s="44" t="s">
        <v>11</v>
      </c>
      <c r="H69" s="41"/>
      <c r="I69" s="148">
        <f>I68*6</f>
        <v>12</v>
      </c>
    </row>
    <row r="70" spans="1:9" s="2" customFormat="1" x14ac:dyDescent="0.25">
      <c r="A70" s="47"/>
      <c r="B70" s="49"/>
      <c r="C70" s="48"/>
      <c r="D70" s="134"/>
      <c r="E70" s="46" t="s">
        <v>164</v>
      </c>
      <c r="F70" s="41" t="s">
        <v>40</v>
      </c>
      <c r="G70" s="44" t="s">
        <v>11</v>
      </c>
      <c r="H70" s="41"/>
      <c r="I70" s="148">
        <f>D66*13*0.4</f>
        <v>56.087199999999996</v>
      </c>
    </row>
    <row r="71" spans="1:9" ht="15" customHeight="1" x14ac:dyDescent="0.25">
      <c r="A71" s="47"/>
      <c r="B71" s="49"/>
      <c r="C71" s="48"/>
      <c r="D71" s="134"/>
      <c r="E71" s="46" t="s">
        <v>165</v>
      </c>
      <c r="F71" s="41" t="s">
        <v>41</v>
      </c>
      <c r="G71" s="44" t="s">
        <v>11</v>
      </c>
      <c r="H71" s="41"/>
      <c r="I71" s="148">
        <v>12</v>
      </c>
    </row>
    <row r="72" spans="1:9" x14ac:dyDescent="0.25">
      <c r="A72" s="84"/>
      <c r="B72" s="50"/>
      <c r="C72" s="48"/>
      <c r="D72" s="134"/>
      <c r="E72" s="46" t="s">
        <v>166</v>
      </c>
      <c r="F72" s="41" t="s">
        <v>42</v>
      </c>
      <c r="G72" s="44" t="s">
        <v>11</v>
      </c>
      <c r="H72" s="41"/>
      <c r="I72" s="148">
        <f>I71</f>
        <v>12</v>
      </c>
    </row>
    <row r="73" spans="1:9" s="2" customFormat="1" x14ac:dyDescent="0.25">
      <c r="A73" s="83">
        <v>9</v>
      </c>
      <c r="B73" s="178" t="s">
        <v>133</v>
      </c>
      <c r="C73" s="11" t="s">
        <v>4</v>
      </c>
      <c r="D73" s="135">
        <f>(3.29+2.83)*4.32-3*5-1.2*0.6*2</f>
        <v>9.998400000000002</v>
      </c>
      <c r="E73" s="42" t="s">
        <v>45</v>
      </c>
      <c r="F73" s="4" t="s">
        <v>134</v>
      </c>
      <c r="G73" s="76" t="s">
        <v>4</v>
      </c>
      <c r="H73" s="6"/>
      <c r="I73" s="148">
        <f>D73*1.1</f>
        <v>10.998240000000003</v>
      </c>
    </row>
    <row r="74" spans="1:9" s="2" customFormat="1" x14ac:dyDescent="0.25">
      <c r="A74" s="29"/>
      <c r="B74" s="179"/>
      <c r="C74" s="12"/>
      <c r="D74" s="136"/>
      <c r="E74" s="42" t="s">
        <v>110</v>
      </c>
      <c r="F74" s="81" t="s">
        <v>135</v>
      </c>
      <c r="G74" s="76" t="s">
        <v>10</v>
      </c>
      <c r="H74" s="7"/>
      <c r="I74" s="148">
        <f>(D73/10)*12</f>
        <v>11.998080000000002</v>
      </c>
    </row>
    <row r="75" spans="1:9" x14ac:dyDescent="0.25">
      <c r="A75" s="29"/>
      <c r="B75" s="179"/>
      <c r="C75" s="12"/>
      <c r="D75" s="136"/>
      <c r="E75" s="42" t="s">
        <v>111</v>
      </c>
      <c r="F75" s="4" t="s">
        <v>136</v>
      </c>
      <c r="G75" s="76" t="s">
        <v>10</v>
      </c>
      <c r="H75" s="6"/>
      <c r="I75" s="148">
        <f>(D73/10)*22</f>
        <v>21.996480000000005</v>
      </c>
    </row>
    <row r="76" spans="1:9" x14ac:dyDescent="0.25">
      <c r="A76" s="29"/>
      <c r="B76" s="179"/>
      <c r="C76" s="12"/>
      <c r="D76" s="136"/>
      <c r="E76" s="42" t="s">
        <v>112</v>
      </c>
      <c r="F76" s="5" t="s">
        <v>137</v>
      </c>
      <c r="G76" s="76" t="s">
        <v>10</v>
      </c>
      <c r="H76" s="7"/>
      <c r="I76" s="148">
        <f>I74</f>
        <v>11.998080000000002</v>
      </c>
    </row>
    <row r="77" spans="1:9" x14ac:dyDescent="0.25">
      <c r="A77" s="29"/>
      <c r="B77" s="13"/>
      <c r="C77" s="12"/>
      <c r="D77" s="136"/>
      <c r="E77" s="42" t="s">
        <v>167</v>
      </c>
      <c r="F77" s="4" t="s">
        <v>138</v>
      </c>
      <c r="G77" s="76" t="s">
        <v>10</v>
      </c>
      <c r="H77" s="6"/>
      <c r="I77" s="148">
        <f>I75/2</f>
        <v>10.998240000000003</v>
      </c>
    </row>
    <row r="78" spans="1:9" x14ac:dyDescent="0.25">
      <c r="A78" s="84"/>
      <c r="B78" s="14"/>
      <c r="C78" s="80"/>
      <c r="D78" s="137"/>
      <c r="E78" s="42" t="s">
        <v>168</v>
      </c>
      <c r="F78" s="4" t="s">
        <v>139</v>
      </c>
      <c r="G78" s="76" t="s">
        <v>11</v>
      </c>
      <c r="H78" s="6"/>
      <c r="I78" s="148">
        <f>(D73/10)*20</f>
        <v>19.996800000000004</v>
      </c>
    </row>
    <row r="79" spans="1:9" s="2" customFormat="1" ht="18.75" customHeight="1" x14ac:dyDescent="0.25">
      <c r="A79" s="83">
        <v>10</v>
      </c>
      <c r="B79" s="70" t="s">
        <v>140</v>
      </c>
      <c r="C79" s="12" t="s">
        <v>11</v>
      </c>
      <c r="D79" s="136">
        <v>2</v>
      </c>
      <c r="E79" s="42" t="s">
        <v>54</v>
      </c>
      <c r="F79" s="5" t="s">
        <v>95</v>
      </c>
      <c r="G79" s="76" t="s">
        <v>11</v>
      </c>
      <c r="H79" s="6"/>
      <c r="I79" s="148">
        <v>2</v>
      </c>
    </row>
    <row r="80" spans="1:9" s="2" customFormat="1" ht="51.75" x14ac:dyDescent="0.25">
      <c r="A80" s="83">
        <v>11</v>
      </c>
      <c r="B80" s="70" t="s">
        <v>153</v>
      </c>
      <c r="C80" s="11" t="s">
        <v>4</v>
      </c>
      <c r="D80" s="135">
        <f>0.5*3.3</f>
        <v>1.65</v>
      </c>
      <c r="E80" s="30" t="s">
        <v>169</v>
      </c>
      <c r="F80" s="4" t="s">
        <v>134</v>
      </c>
      <c r="G80" s="76" t="s">
        <v>4</v>
      </c>
      <c r="H80" s="8"/>
      <c r="I80" s="148">
        <f>D80*2*1.1</f>
        <v>3.63</v>
      </c>
    </row>
    <row r="81" spans="1:9" s="2" customFormat="1" x14ac:dyDescent="0.25">
      <c r="A81" s="47"/>
      <c r="B81" s="86"/>
      <c r="C81" s="12"/>
      <c r="D81" s="136"/>
      <c r="E81" s="42" t="s">
        <v>170</v>
      </c>
      <c r="F81" s="4" t="s">
        <v>149</v>
      </c>
      <c r="G81" s="76" t="s">
        <v>11</v>
      </c>
      <c r="H81" s="8"/>
      <c r="I81" s="148">
        <v>2</v>
      </c>
    </row>
    <row r="82" spans="1:9" s="2" customFormat="1" x14ac:dyDescent="0.25">
      <c r="A82" s="47"/>
      <c r="B82" s="86"/>
      <c r="C82" s="12"/>
      <c r="D82" s="136"/>
      <c r="E82" s="42" t="s">
        <v>172</v>
      </c>
      <c r="F82" s="4" t="s">
        <v>150</v>
      </c>
      <c r="G82" s="76" t="s">
        <v>11</v>
      </c>
      <c r="H82" s="8"/>
      <c r="I82" s="148">
        <v>2</v>
      </c>
    </row>
    <row r="83" spans="1:9" s="2" customFormat="1" x14ac:dyDescent="0.25">
      <c r="A83" s="47"/>
      <c r="B83" s="87"/>
      <c r="C83" s="12"/>
      <c r="D83" s="136"/>
      <c r="E83" s="42" t="s">
        <v>173</v>
      </c>
      <c r="F83" s="4" t="s">
        <v>151</v>
      </c>
      <c r="G83" s="76" t="s">
        <v>152</v>
      </c>
      <c r="H83" s="8"/>
      <c r="I83" s="148">
        <f>D80</f>
        <v>1.65</v>
      </c>
    </row>
    <row r="84" spans="1:9" s="2" customFormat="1" x14ac:dyDescent="0.25">
      <c r="A84" s="47"/>
      <c r="B84" s="71"/>
      <c r="C84" s="47"/>
      <c r="D84" s="132"/>
      <c r="E84" s="42" t="s">
        <v>174</v>
      </c>
      <c r="F84" s="5" t="s">
        <v>137</v>
      </c>
      <c r="G84" s="76" t="s">
        <v>10</v>
      </c>
      <c r="H84" s="9"/>
      <c r="I84" s="149">
        <f>I81*3</f>
        <v>6</v>
      </c>
    </row>
    <row r="85" spans="1:9" s="2" customFormat="1" x14ac:dyDescent="0.25">
      <c r="A85" s="84"/>
      <c r="B85" s="73"/>
      <c r="C85" s="80"/>
      <c r="D85" s="137"/>
      <c r="E85" s="42" t="s">
        <v>171</v>
      </c>
      <c r="F85" s="4" t="s">
        <v>138</v>
      </c>
      <c r="G85" s="76" t="s">
        <v>10</v>
      </c>
      <c r="H85" s="8"/>
      <c r="I85" s="148">
        <f>((D80*2)/3)/1.2*3</f>
        <v>2.75</v>
      </c>
    </row>
    <row r="86" spans="1:9" s="2" customFormat="1" ht="14.25" customHeight="1" x14ac:dyDescent="0.25">
      <c r="A86" s="84">
        <v>12</v>
      </c>
      <c r="B86" s="85" t="s">
        <v>141</v>
      </c>
      <c r="C86" s="80" t="s">
        <v>4</v>
      </c>
      <c r="D86" s="137">
        <f>(3.29+2.83)*4.32-3*5-1.2*0.6*2+D80*2</f>
        <v>13.298400000000001</v>
      </c>
      <c r="E86" s="42" t="s">
        <v>56</v>
      </c>
      <c r="F86" s="75" t="s">
        <v>142</v>
      </c>
      <c r="G86" s="78" t="s">
        <v>11</v>
      </c>
      <c r="H86" s="79"/>
      <c r="I86" s="79">
        <f>(D86*3*0.14)/10</f>
        <v>0.55853280000000005</v>
      </c>
    </row>
    <row r="87" spans="1:9" s="2" customFormat="1" x14ac:dyDescent="0.25">
      <c r="A87" s="78">
        <v>13</v>
      </c>
      <c r="B87" s="82" t="s">
        <v>143</v>
      </c>
      <c r="C87" s="76" t="s">
        <v>4</v>
      </c>
      <c r="D87" s="108">
        <f>D86</f>
        <v>13.298400000000001</v>
      </c>
      <c r="E87" s="42" t="s">
        <v>57</v>
      </c>
      <c r="F87" s="77" t="s">
        <v>144</v>
      </c>
      <c r="G87" s="78" t="s">
        <v>11</v>
      </c>
      <c r="H87" s="79"/>
      <c r="I87" s="79">
        <f>(D87/9)*(2/3)</f>
        <v>0.98506666666666665</v>
      </c>
    </row>
    <row r="88" spans="1:9" s="2" customFormat="1" x14ac:dyDescent="0.25">
      <c r="A88" s="78">
        <v>14</v>
      </c>
      <c r="B88" s="77" t="s">
        <v>145</v>
      </c>
      <c r="C88" s="78" t="s">
        <v>4</v>
      </c>
      <c r="D88" s="108">
        <f>(3.29+2.83)*4.32-3*5-1.2*0.6*2+D80*2</f>
        <v>13.298400000000001</v>
      </c>
      <c r="E88" s="42" t="s">
        <v>98</v>
      </c>
      <c r="F88" s="77" t="s">
        <v>146</v>
      </c>
      <c r="G88" s="78" t="s">
        <v>4</v>
      </c>
      <c r="H88" s="79"/>
      <c r="I88" s="79">
        <f>D88*1.1</f>
        <v>14.628240000000002</v>
      </c>
    </row>
    <row r="89" spans="1:9" s="2" customFormat="1" x14ac:dyDescent="0.25">
      <c r="A89" s="78">
        <v>15</v>
      </c>
      <c r="B89" s="82" t="s">
        <v>65</v>
      </c>
      <c r="C89" s="76" t="s">
        <v>4</v>
      </c>
      <c r="D89" s="108">
        <f>D86</f>
        <v>13.298400000000001</v>
      </c>
      <c r="E89" s="42"/>
      <c r="F89" s="43"/>
      <c r="G89" s="44"/>
      <c r="H89" s="41"/>
      <c r="I89" s="144"/>
    </row>
    <row r="90" spans="1:9" s="2" customFormat="1" ht="38.25" x14ac:dyDescent="0.25">
      <c r="A90" s="78">
        <v>16</v>
      </c>
      <c r="B90" s="82" t="s">
        <v>147</v>
      </c>
      <c r="C90" s="76" t="s">
        <v>4</v>
      </c>
      <c r="D90" s="108">
        <f>D86</f>
        <v>13.298400000000001</v>
      </c>
      <c r="E90" s="42" t="s">
        <v>99</v>
      </c>
      <c r="F90" s="75" t="s">
        <v>148</v>
      </c>
      <c r="G90" s="78" t="s">
        <v>11</v>
      </c>
      <c r="H90" s="79"/>
      <c r="I90" s="79">
        <f>(D90*2)/93</f>
        <v>0.28598709677419359</v>
      </c>
    </row>
    <row r="91" spans="1:9" s="2" customFormat="1" x14ac:dyDescent="0.25">
      <c r="A91" s="78">
        <v>17</v>
      </c>
      <c r="B91" s="82" t="s">
        <v>155</v>
      </c>
      <c r="C91" s="76" t="s">
        <v>4</v>
      </c>
      <c r="D91" s="108">
        <f>(9.113*2+3.29)*3.5-1.4*2.1+(4.3*2+2.83)*3.5-0.9*2.1</f>
        <v>110.48099999999999</v>
      </c>
      <c r="E91" s="30" t="s">
        <v>175</v>
      </c>
      <c r="F91" s="75" t="s">
        <v>142</v>
      </c>
      <c r="G91" s="78" t="s">
        <v>11</v>
      </c>
      <c r="H91" s="79"/>
      <c r="I91" s="79">
        <f>(D91*1*0.14)/10</f>
        <v>1.5467340000000001</v>
      </c>
    </row>
    <row r="92" spans="1:9" s="2" customFormat="1" ht="25.5" x14ac:dyDescent="0.25">
      <c r="A92" s="78">
        <v>18</v>
      </c>
      <c r="B92" s="82" t="s">
        <v>156</v>
      </c>
      <c r="C92" s="76" t="s">
        <v>4</v>
      </c>
      <c r="D92" s="108">
        <v>10</v>
      </c>
      <c r="E92" s="30" t="s">
        <v>176</v>
      </c>
      <c r="F92" s="77" t="s">
        <v>144</v>
      </c>
      <c r="G92" s="78" t="s">
        <v>11</v>
      </c>
      <c r="H92" s="79"/>
      <c r="I92" s="79">
        <f>(D92/9)*(2/3)</f>
        <v>0.7407407407407407</v>
      </c>
    </row>
    <row r="93" spans="1:9" s="2" customFormat="1" x14ac:dyDescent="0.25">
      <c r="A93" s="78">
        <v>19</v>
      </c>
      <c r="B93" s="82" t="s">
        <v>157</v>
      </c>
      <c r="C93" s="76" t="s">
        <v>4</v>
      </c>
      <c r="D93" s="108">
        <v>10</v>
      </c>
      <c r="E93" s="30"/>
      <c r="F93" s="43"/>
      <c r="G93" s="76"/>
      <c r="H93" s="20"/>
      <c r="I93" s="79"/>
    </row>
    <row r="94" spans="1:9" s="2" customFormat="1" ht="38.25" x14ac:dyDescent="0.25">
      <c r="A94" s="78">
        <v>20</v>
      </c>
      <c r="B94" s="82" t="s">
        <v>147</v>
      </c>
      <c r="C94" s="76" t="s">
        <v>4</v>
      </c>
      <c r="D94" s="108">
        <f>D91</f>
        <v>110.48099999999999</v>
      </c>
      <c r="E94" s="30" t="s">
        <v>177</v>
      </c>
      <c r="F94" s="75" t="s">
        <v>148</v>
      </c>
      <c r="G94" s="78" t="s">
        <v>11</v>
      </c>
      <c r="H94" s="79"/>
      <c r="I94" s="79">
        <f>(D94*2)/93</f>
        <v>2.3759354838709674</v>
      </c>
    </row>
    <row r="95" spans="1:9" s="2" customFormat="1" x14ac:dyDescent="0.25">
      <c r="A95" s="78">
        <v>21</v>
      </c>
      <c r="B95" s="82" t="s">
        <v>159</v>
      </c>
      <c r="C95" s="76" t="s">
        <v>10</v>
      </c>
      <c r="D95" s="108">
        <f>1.452+4*2.121+0.85</f>
        <v>10.786</v>
      </c>
      <c r="E95" s="30" t="s">
        <v>178</v>
      </c>
      <c r="F95" s="77" t="s">
        <v>160</v>
      </c>
      <c r="G95" s="78" t="s">
        <v>11</v>
      </c>
      <c r="H95" s="10"/>
      <c r="I95" s="79">
        <f>(D95/3)*1.1</f>
        <v>3.9548666666666668</v>
      </c>
    </row>
    <row r="96" spans="1:9" s="2" customFormat="1" x14ac:dyDescent="0.25">
      <c r="A96" s="78">
        <v>22</v>
      </c>
      <c r="B96" s="36" t="s">
        <v>5</v>
      </c>
      <c r="C96" s="35" t="s">
        <v>10</v>
      </c>
      <c r="D96" s="108">
        <f>1.452+4*2.121+0.85</f>
        <v>10.786</v>
      </c>
      <c r="E96" s="42" t="s">
        <v>179</v>
      </c>
      <c r="F96" s="41" t="s">
        <v>43</v>
      </c>
      <c r="G96" s="34" t="s">
        <v>11</v>
      </c>
      <c r="H96" s="41" t="s">
        <v>61</v>
      </c>
      <c r="I96" s="79">
        <f>(D96*2*0.14*0.4)/10</f>
        <v>0.12080320000000003</v>
      </c>
    </row>
    <row r="97" spans="1:9" s="2" customFormat="1" x14ac:dyDescent="0.25">
      <c r="A97" s="78">
        <f t="shared" si="3"/>
        <v>23</v>
      </c>
      <c r="B97" s="36" t="s">
        <v>22</v>
      </c>
      <c r="C97" s="35" t="s">
        <v>10</v>
      </c>
      <c r="D97" s="108">
        <f t="shared" ref="D97:D99" si="4">1.452+4*2.121+0.85</f>
        <v>10.786</v>
      </c>
      <c r="E97" s="42" t="s">
        <v>180</v>
      </c>
      <c r="F97" s="41" t="s">
        <v>52</v>
      </c>
      <c r="G97" s="34" t="s">
        <v>11</v>
      </c>
      <c r="H97" s="41" t="s">
        <v>51</v>
      </c>
      <c r="I97" s="79">
        <f>(D97*0.48*2*0.4)/18</f>
        <v>0.23010133333333332</v>
      </c>
    </row>
    <row r="98" spans="1:9" s="2" customFormat="1" x14ac:dyDescent="0.25">
      <c r="A98" s="78">
        <f t="shared" si="3"/>
        <v>24</v>
      </c>
      <c r="B98" s="36" t="s">
        <v>65</v>
      </c>
      <c r="C98" s="35" t="s">
        <v>10</v>
      </c>
      <c r="D98" s="108">
        <f t="shared" si="4"/>
        <v>10.786</v>
      </c>
      <c r="E98" s="42"/>
      <c r="F98" s="41"/>
      <c r="G98" s="34"/>
      <c r="H98" s="41"/>
      <c r="I98" s="79"/>
    </row>
    <row r="99" spans="1:9" s="2" customFormat="1" x14ac:dyDescent="0.25">
      <c r="A99" s="78">
        <f t="shared" si="3"/>
        <v>25</v>
      </c>
      <c r="B99" s="36" t="s">
        <v>6</v>
      </c>
      <c r="C99" s="35" t="s">
        <v>10</v>
      </c>
      <c r="D99" s="108">
        <f t="shared" si="4"/>
        <v>10.786</v>
      </c>
      <c r="E99" s="42" t="s">
        <v>181</v>
      </c>
      <c r="F99" s="51" t="s">
        <v>49</v>
      </c>
      <c r="G99" s="44" t="s">
        <v>11</v>
      </c>
      <c r="H99" s="41" t="s">
        <v>50</v>
      </c>
      <c r="I99" s="79">
        <f>(D99*0.15*0.4*2)/14.5</f>
        <v>8.9263448275862065E-2</v>
      </c>
    </row>
    <row r="100" spans="1:9" s="2" customFormat="1" x14ac:dyDescent="0.25">
      <c r="A100" s="181" t="s">
        <v>72</v>
      </c>
      <c r="B100" s="181"/>
      <c r="C100" s="181"/>
      <c r="D100" s="181"/>
      <c r="E100" s="181"/>
      <c r="F100" s="181"/>
      <c r="G100" s="181"/>
      <c r="H100" s="181"/>
      <c r="I100" s="181"/>
    </row>
    <row r="101" spans="1:9" s="2" customFormat="1" x14ac:dyDescent="0.25">
      <c r="A101" s="76">
        <v>1</v>
      </c>
      <c r="B101" s="81" t="s">
        <v>73</v>
      </c>
      <c r="C101" s="44" t="s">
        <v>4</v>
      </c>
      <c r="D101" s="138">
        <f>3*5</f>
        <v>15</v>
      </c>
      <c r="E101" s="52"/>
      <c r="F101" s="53"/>
      <c r="G101" s="53"/>
      <c r="H101" s="53"/>
      <c r="I101" s="144"/>
    </row>
    <row r="102" spans="1:9" s="2" customFormat="1" ht="76.5" x14ac:dyDescent="0.25">
      <c r="A102" s="76">
        <v>2</v>
      </c>
      <c r="B102" s="81" t="s">
        <v>79</v>
      </c>
      <c r="C102" s="44" t="s">
        <v>4</v>
      </c>
      <c r="D102" s="138">
        <v>15</v>
      </c>
      <c r="E102" s="54" t="s">
        <v>53</v>
      </c>
      <c r="F102" s="51" t="s">
        <v>120</v>
      </c>
      <c r="G102" s="44" t="s">
        <v>4</v>
      </c>
      <c r="H102" s="53"/>
      <c r="I102" s="144">
        <v>15</v>
      </c>
    </row>
    <row r="103" spans="1:9" s="2" customFormat="1" ht="25.5" x14ac:dyDescent="0.25">
      <c r="A103" s="76">
        <v>3</v>
      </c>
      <c r="B103" s="55" t="s">
        <v>96</v>
      </c>
      <c r="C103" s="44" t="s">
        <v>4</v>
      </c>
      <c r="D103" s="138">
        <f>1.8*5</f>
        <v>9</v>
      </c>
      <c r="E103" s="56" t="s">
        <v>28</v>
      </c>
      <c r="F103" s="51" t="s">
        <v>97</v>
      </c>
      <c r="G103" s="44" t="s">
        <v>4</v>
      </c>
      <c r="H103" s="53"/>
      <c r="I103" s="144">
        <f>D103</f>
        <v>9</v>
      </c>
    </row>
    <row r="104" spans="1:9" s="2" customFormat="1" x14ac:dyDescent="0.25">
      <c r="A104" s="172" t="s">
        <v>17</v>
      </c>
      <c r="B104" s="172"/>
      <c r="C104" s="172"/>
      <c r="D104" s="172"/>
      <c r="E104" s="172"/>
      <c r="F104" s="172"/>
      <c r="G104" s="172"/>
      <c r="H104" s="172"/>
      <c r="I104" s="172"/>
    </row>
    <row r="105" spans="1:9" s="2" customFormat="1" x14ac:dyDescent="0.25">
      <c r="A105" s="121">
        <v>1</v>
      </c>
      <c r="B105" s="57" t="s">
        <v>12</v>
      </c>
      <c r="C105" s="58" t="s">
        <v>4</v>
      </c>
      <c r="D105" s="113">
        <f>9.113*3.29+4.3*2.83</f>
        <v>42.150769999999994</v>
      </c>
      <c r="E105" s="42"/>
      <c r="F105" s="34"/>
      <c r="G105" s="34"/>
      <c r="H105" s="34"/>
      <c r="I105" s="144"/>
    </row>
    <row r="106" spans="1:9" s="2" customFormat="1" x14ac:dyDescent="0.25">
      <c r="A106" s="121">
        <f t="shared" ref="A106:A111" si="5">A105+1</f>
        <v>2</v>
      </c>
      <c r="B106" s="57" t="s">
        <v>74</v>
      </c>
      <c r="C106" s="58" t="s">
        <v>4</v>
      </c>
      <c r="D106" s="113">
        <f>(9.113*3.29+4.3*2.83)/2</f>
        <v>21.075384999999997</v>
      </c>
      <c r="E106" s="54"/>
      <c r="F106" s="34"/>
      <c r="G106" s="34"/>
      <c r="H106" s="34"/>
      <c r="I106" s="144"/>
    </row>
    <row r="107" spans="1:9" s="2" customFormat="1" x14ac:dyDescent="0.25">
      <c r="A107" s="121">
        <f t="shared" si="5"/>
        <v>3</v>
      </c>
      <c r="B107" s="57" t="s">
        <v>75</v>
      </c>
      <c r="C107" s="58" t="s">
        <v>4</v>
      </c>
      <c r="D107" s="113">
        <f>D105/2</f>
        <v>21.075384999999997</v>
      </c>
      <c r="E107" s="54" t="s">
        <v>28</v>
      </c>
      <c r="F107" s="37" t="s">
        <v>43</v>
      </c>
      <c r="G107" s="38" t="s">
        <v>11</v>
      </c>
      <c r="H107" s="37" t="s">
        <v>61</v>
      </c>
      <c r="I107" s="144">
        <f>(D107*1*0.14)/10</f>
        <v>0.29505539000000003</v>
      </c>
    </row>
    <row r="108" spans="1:9" s="2" customFormat="1" x14ac:dyDescent="0.25">
      <c r="A108" s="121">
        <f t="shared" si="5"/>
        <v>4</v>
      </c>
      <c r="B108" s="57" t="s">
        <v>78</v>
      </c>
      <c r="C108" s="58" t="s">
        <v>4</v>
      </c>
      <c r="D108" s="113">
        <f>D105/2</f>
        <v>21.075384999999997</v>
      </c>
      <c r="E108" s="54" t="s">
        <v>37</v>
      </c>
      <c r="F108" s="37" t="s">
        <v>52</v>
      </c>
      <c r="G108" s="38" t="s">
        <v>11</v>
      </c>
      <c r="H108" s="37" t="s">
        <v>51</v>
      </c>
      <c r="I108" s="144">
        <f>(D108*0.48*2)/18</f>
        <v>1.1240205333333331</v>
      </c>
    </row>
    <row r="109" spans="1:9" s="2" customFormat="1" x14ac:dyDescent="0.25">
      <c r="A109" s="121">
        <f t="shared" si="5"/>
        <v>5</v>
      </c>
      <c r="B109" s="57" t="s">
        <v>76</v>
      </c>
      <c r="C109" s="58" t="s">
        <v>4</v>
      </c>
      <c r="D109" s="113">
        <f>D105*1.5</f>
        <v>63.226154999999991</v>
      </c>
      <c r="E109" s="54" t="s">
        <v>29</v>
      </c>
      <c r="F109" s="37" t="s">
        <v>43</v>
      </c>
      <c r="G109" s="38" t="s">
        <v>11</v>
      </c>
      <c r="H109" s="37" t="s">
        <v>61</v>
      </c>
      <c r="I109" s="144">
        <f>(D109*1*0.14)/10</f>
        <v>0.88516616999999997</v>
      </c>
    </row>
    <row r="110" spans="1:9" s="2" customFormat="1" x14ac:dyDescent="0.25">
      <c r="A110" s="121">
        <f t="shared" si="5"/>
        <v>6</v>
      </c>
      <c r="B110" s="57" t="s">
        <v>77</v>
      </c>
      <c r="C110" s="58" t="s">
        <v>4</v>
      </c>
      <c r="D110" s="113">
        <f>D105*1.5</f>
        <v>63.226154999999991</v>
      </c>
      <c r="E110" s="54" t="s">
        <v>32</v>
      </c>
      <c r="F110" s="59" t="s">
        <v>49</v>
      </c>
      <c r="G110" s="60" t="s">
        <v>11</v>
      </c>
      <c r="H110" s="37" t="s">
        <v>50</v>
      </c>
      <c r="I110" s="150">
        <f>(D110*0.15)/14.5</f>
        <v>0.65406367241379304</v>
      </c>
    </row>
    <row r="111" spans="1:9" s="2" customFormat="1" ht="38.25" x14ac:dyDescent="0.25">
      <c r="A111" s="121">
        <f t="shared" si="5"/>
        <v>7</v>
      </c>
      <c r="B111" s="57" t="s">
        <v>9</v>
      </c>
      <c r="C111" s="58" t="s">
        <v>4</v>
      </c>
      <c r="D111" s="113">
        <f>9.113*3.29+4.3*2.83</f>
        <v>42.150769999999994</v>
      </c>
      <c r="E111" s="54" t="s">
        <v>46</v>
      </c>
      <c r="F111" s="61" t="s">
        <v>158</v>
      </c>
      <c r="G111" s="34" t="s">
        <v>4</v>
      </c>
      <c r="H111" s="34"/>
      <c r="I111" s="144">
        <f>D111</f>
        <v>42.150769999999994</v>
      </c>
    </row>
    <row r="112" spans="1:9" s="2" customFormat="1" x14ac:dyDescent="0.25">
      <c r="A112" s="60"/>
      <c r="B112" s="62"/>
      <c r="C112" s="63"/>
      <c r="D112" s="110"/>
      <c r="E112" s="54" t="s">
        <v>47</v>
      </c>
      <c r="F112" s="41" t="s">
        <v>71</v>
      </c>
      <c r="G112" s="34" t="s">
        <v>11</v>
      </c>
      <c r="H112" s="34"/>
      <c r="I112" s="144">
        <v>2</v>
      </c>
    </row>
    <row r="113" spans="1:9" x14ac:dyDescent="0.25">
      <c r="A113" s="172" t="s">
        <v>18</v>
      </c>
      <c r="B113" s="172"/>
      <c r="C113" s="172"/>
      <c r="D113" s="172"/>
      <c r="E113" s="172"/>
      <c r="F113" s="172"/>
      <c r="G113" s="172"/>
      <c r="H113" s="172"/>
      <c r="I113" s="172"/>
    </row>
    <row r="114" spans="1:9" x14ac:dyDescent="0.25">
      <c r="A114" s="44">
        <v>1</v>
      </c>
      <c r="B114" s="55" t="s">
        <v>19</v>
      </c>
      <c r="C114" s="44" t="s">
        <v>20</v>
      </c>
      <c r="D114" s="138">
        <v>0.5</v>
      </c>
      <c r="E114" s="65"/>
      <c r="F114" s="64"/>
      <c r="G114" s="64"/>
      <c r="H114" s="64"/>
      <c r="I114" s="147"/>
    </row>
    <row r="115" spans="1:9" ht="82.5" customHeight="1" x14ac:dyDescent="0.25">
      <c r="A115" s="44">
        <f>A114+1</f>
        <v>2</v>
      </c>
      <c r="B115" s="55" t="s">
        <v>21</v>
      </c>
      <c r="C115" s="44" t="s">
        <v>20</v>
      </c>
      <c r="D115" s="138">
        <v>0.01</v>
      </c>
      <c r="E115" s="65"/>
      <c r="F115" s="64"/>
      <c r="G115" s="64"/>
      <c r="H115" s="64"/>
      <c r="I115" s="147"/>
    </row>
    <row r="116" spans="1:9" s="2" customFormat="1" ht="15.75" customHeight="1" x14ac:dyDescent="0.25">
      <c r="A116" s="44">
        <v>3</v>
      </c>
      <c r="B116" s="55" t="s">
        <v>81</v>
      </c>
      <c r="C116" s="44" t="s">
        <v>11</v>
      </c>
      <c r="D116" s="138">
        <v>1</v>
      </c>
      <c r="E116" s="66"/>
      <c r="F116" s="67"/>
      <c r="G116" s="67"/>
      <c r="H116" s="67"/>
      <c r="I116" s="151"/>
    </row>
    <row r="117" spans="1:9" x14ac:dyDescent="0.25">
      <c r="A117" s="173" t="s">
        <v>201</v>
      </c>
      <c r="B117" s="173"/>
      <c r="C117" s="173"/>
      <c r="D117" s="173"/>
      <c r="E117" s="173"/>
      <c r="F117" s="173"/>
      <c r="G117" s="173"/>
      <c r="H117" s="173"/>
      <c r="I117" s="173"/>
    </row>
    <row r="118" spans="1:9" x14ac:dyDescent="0.25">
      <c r="A118" s="180" t="s">
        <v>15</v>
      </c>
      <c r="B118" s="181"/>
      <c r="C118" s="181"/>
      <c r="D118" s="181"/>
      <c r="E118" s="181"/>
      <c r="F118" s="181"/>
      <c r="G118" s="181"/>
      <c r="H118" s="181"/>
      <c r="I118" s="182"/>
    </row>
    <row r="119" spans="1:9" s="2" customFormat="1" x14ac:dyDescent="0.25">
      <c r="A119" s="11">
        <f>1</f>
        <v>1</v>
      </c>
      <c r="B119" s="106" t="s">
        <v>126</v>
      </c>
      <c r="C119" s="83" t="s">
        <v>4</v>
      </c>
      <c r="D119" s="131">
        <f>13.424*9.113-8*0.6*0.6</f>
        <v>119.452912</v>
      </c>
      <c r="E119" s="16"/>
      <c r="F119" s="17"/>
      <c r="G119" s="17"/>
      <c r="H119" s="17"/>
      <c r="I119" s="79"/>
    </row>
    <row r="120" spans="1:9" s="2" customFormat="1" x14ac:dyDescent="0.25">
      <c r="A120" s="76">
        <f t="shared" ref="A120:A125" si="6">A119+1</f>
        <v>2</v>
      </c>
      <c r="B120" s="106" t="s">
        <v>114</v>
      </c>
      <c r="C120" s="78" t="s">
        <v>4</v>
      </c>
      <c r="D120" s="131">
        <f>13.424*9.113-8*0.6*0.6</f>
        <v>119.452912</v>
      </c>
      <c r="E120" s="18"/>
      <c r="F120" s="15"/>
      <c r="G120" s="15"/>
      <c r="H120" s="17"/>
      <c r="I120" s="79"/>
    </row>
    <row r="121" spans="1:9" s="2" customFormat="1" ht="38.25" x14ac:dyDescent="0.25">
      <c r="A121" s="44">
        <f t="shared" si="6"/>
        <v>3</v>
      </c>
      <c r="B121" s="57" t="s">
        <v>117</v>
      </c>
      <c r="C121" s="35" t="s">
        <v>4</v>
      </c>
      <c r="D121" s="131">
        <f>13.424*9.113-8*0.6*0.6</f>
        <v>119.452912</v>
      </c>
      <c r="E121" s="19" t="s">
        <v>28</v>
      </c>
      <c r="F121" s="20" t="s">
        <v>101</v>
      </c>
      <c r="G121" s="17" t="s">
        <v>93</v>
      </c>
      <c r="H121" s="67"/>
      <c r="I121" s="79">
        <f>D121*0.03</f>
        <v>3.5835873599999997</v>
      </c>
    </row>
    <row r="122" spans="1:9" s="2" customFormat="1" ht="38.25" x14ac:dyDescent="0.25">
      <c r="A122" s="76">
        <v>4</v>
      </c>
      <c r="B122" s="81" t="s">
        <v>121</v>
      </c>
      <c r="C122" s="83" t="s">
        <v>4</v>
      </c>
      <c r="D122" s="131">
        <f>13.424*9.113-8*0.6*0.6</f>
        <v>119.452912</v>
      </c>
      <c r="E122" s="19" t="s">
        <v>37</v>
      </c>
      <c r="F122" s="20" t="s">
        <v>104</v>
      </c>
      <c r="G122" s="17" t="s">
        <v>11</v>
      </c>
      <c r="H122" s="17" t="s">
        <v>105</v>
      </c>
      <c r="I122" s="148">
        <f>(D122*1.6*5)/20</f>
        <v>47.781164799999999</v>
      </c>
    </row>
    <row r="123" spans="1:9" s="2" customFormat="1" x14ac:dyDescent="0.25">
      <c r="A123" s="76">
        <v>5</v>
      </c>
      <c r="B123" s="81" t="s">
        <v>92</v>
      </c>
      <c r="C123" s="83" t="s">
        <v>4</v>
      </c>
      <c r="D123" s="131">
        <f>13.424*9.113-8*0.6*0.6</f>
        <v>119.452912</v>
      </c>
      <c r="E123" s="19" t="s">
        <v>29</v>
      </c>
      <c r="F123" s="20" t="s">
        <v>102</v>
      </c>
      <c r="G123" s="17" t="s">
        <v>59</v>
      </c>
      <c r="H123" s="17" t="s">
        <v>106</v>
      </c>
      <c r="I123" s="148">
        <f>D123*0.15</f>
        <v>17.9179368</v>
      </c>
    </row>
    <row r="124" spans="1:9" ht="48" customHeight="1" x14ac:dyDescent="0.25">
      <c r="A124" s="11">
        <f t="shared" si="6"/>
        <v>6</v>
      </c>
      <c r="B124" s="106" t="s">
        <v>113</v>
      </c>
      <c r="C124" s="83" t="s">
        <v>10</v>
      </c>
      <c r="D124" s="131">
        <f>9.113*(13.4/1.5)+13.4*(9.113/1.5)</f>
        <v>162.81893333333332</v>
      </c>
      <c r="E124" s="19" t="s">
        <v>32</v>
      </c>
      <c r="F124" s="20" t="s">
        <v>103</v>
      </c>
      <c r="G124" s="17" t="s">
        <v>10</v>
      </c>
      <c r="H124" s="21"/>
      <c r="I124" s="148">
        <f>D124</f>
        <v>162.81893333333332</v>
      </c>
    </row>
    <row r="125" spans="1:9" s="2" customFormat="1" ht="25.5" x14ac:dyDescent="0.25">
      <c r="A125" s="11">
        <f t="shared" si="6"/>
        <v>7</v>
      </c>
      <c r="B125" s="22" t="s">
        <v>122</v>
      </c>
      <c r="C125" s="23" t="s">
        <v>4</v>
      </c>
      <c r="D125" s="131">
        <f>13.424*9.113-8*0.6*0.6</f>
        <v>119.452912</v>
      </c>
      <c r="E125" s="24" t="s">
        <v>46</v>
      </c>
      <c r="F125" s="20" t="s">
        <v>123</v>
      </c>
      <c r="G125" s="17" t="s">
        <v>4</v>
      </c>
      <c r="H125" s="21"/>
      <c r="I125" s="148">
        <f>D125*1.1</f>
        <v>131.39820320000001</v>
      </c>
    </row>
    <row r="126" spans="1:9" x14ac:dyDescent="0.25">
      <c r="A126" s="12"/>
      <c r="B126" s="25"/>
      <c r="C126" s="26"/>
      <c r="D126" s="132"/>
      <c r="E126" s="24" t="s">
        <v>47</v>
      </c>
      <c r="F126" s="20" t="s">
        <v>107</v>
      </c>
      <c r="G126" s="17" t="s">
        <v>59</v>
      </c>
      <c r="H126" s="21" t="s">
        <v>108</v>
      </c>
      <c r="I126" s="148">
        <f>D125*0.25</f>
        <v>29.863227999999999</v>
      </c>
    </row>
    <row r="127" spans="1:9" x14ac:dyDescent="0.25">
      <c r="A127" s="80"/>
      <c r="B127" s="25"/>
      <c r="C127" s="27"/>
      <c r="D127" s="133"/>
      <c r="E127" s="24" t="s">
        <v>48</v>
      </c>
      <c r="F127" s="20" t="s">
        <v>66</v>
      </c>
      <c r="G127" s="17" t="s">
        <v>10</v>
      </c>
      <c r="H127" s="15"/>
      <c r="I127" s="148">
        <f>13.4*2</f>
        <v>26.8</v>
      </c>
    </row>
    <row r="128" spans="1:9" ht="25.5" x14ac:dyDescent="0.25">
      <c r="A128" s="123">
        <f>A125+1</f>
        <v>8</v>
      </c>
      <c r="B128" s="106" t="s">
        <v>8</v>
      </c>
      <c r="C128" s="29" t="s">
        <v>10</v>
      </c>
      <c r="D128" s="132">
        <f>(9.113+13.42)*2-1.5-0.85+ 2*3+9*0.7</f>
        <v>55.015999999999998</v>
      </c>
      <c r="E128" s="30" t="s">
        <v>44</v>
      </c>
      <c r="F128" s="20" t="s">
        <v>31</v>
      </c>
      <c r="G128" s="17" t="s">
        <v>10</v>
      </c>
      <c r="H128" s="20" t="s">
        <v>69</v>
      </c>
      <c r="I128" s="148">
        <f>D128*1.05</f>
        <v>57.766800000000003</v>
      </c>
    </row>
    <row r="129" spans="1:10" s="2" customFormat="1" ht="25.5" x14ac:dyDescent="0.25">
      <c r="A129" s="123"/>
      <c r="B129" s="107"/>
      <c r="C129" s="29"/>
      <c r="D129" s="132"/>
      <c r="E129" s="30" t="s">
        <v>115</v>
      </c>
      <c r="F129" s="20" t="s">
        <v>34</v>
      </c>
      <c r="G129" s="17" t="s">
        <v>11</v>
      </c>
      <c r="H129" s="20" t="s">
        <v>35</v>
      </c>
      <c r="I129" s="148">
        <f>(I128-5.085*1.5)*3*1.15</f>
        <v>172.98058500000002</v>
      </c>
    </row>
    <row r="130" spans="1:10" ht="25.5" x14ac:dyDescent="0.25">
      <c r="A130" s="124"/>
      <c r="B130" s="31"/>
      <c r="C130" s="32"/>
      <c r="D130" s="133"/>
      <c r="E130" s="30" t="s">
        <v>116</v>
      </c>
      <c r="F130" s="20" t="s">
        <v>118</v>
      </c>
      <c r="G130" s="17" t="s">
        <v>11</v>
      </c>
      <c r="H130" s="20" t="s">
        <v>36</v>
      </c>
      <c r="I130" s="148">
        <f>5.085*3*1.5</f>
        <v>22.8825</v>
      </c>
      <c r="J130">
        <f>13.424*9.113-8*0.6*0.6</f>
        <v>119.452912</v>
      </c>
    </row>
    <row r="131" spans="1:10" s="2" customFormat="1" x14ac:dyDescent="0.25">
      <c r="A131" s="172" t="s">
        <v>17</v>
      </c>
      <c r="B131" s="172"/>
      <c r="C131" s="172"/>
      <c r="D131" s="172"/>
      <c r="E131" s="172"/>
      <c r="F131" s="172"/>
      <c r="G131" s="172"/>
      <c r="H131" s="172"/>
      <c r="I131" s="172"/>
    </row>
    <row r="132" spans="1:10" s="2" customFormat="1" x14ac:dyDescent="0.25">
      <c r="A132" s="121">
        <v>1</v>
      </c>
      <c r="B132" s="57" t="s">
        <v>12</v>
      </c>
      <c r="C132" s="58" t="s">
        <v>4</v>
      </c>
      <c r="D132" s="131">
        <f>13.424*9.113-8*0.6*0.6</f>
        <v>119.452912</v>
      </c>
      <c r="E132" s="42"/>
      <c r="F132" s="34"/>
      <c r="G132" s="34"/>
      <c r="H132" s="34"/>
      <c r="I132" s="144"/>
    </row>
    <row r="133" spans="1:10" s="2" customFormat="1" x14ac:dyDescent="0.25">
      <c r="A133" s="121">
        <f t="shared" ref="A133:A138" si="7">A132+1</f>
        <v>2</v>
      </c>
      <c r="B133" s="57" t="s">
        <v>74</v>
      </c>
      <c r="C133" s="58" t="s">
        <v>4</v>
      </c>
      <c r="D133" s="113">
        <f>D132/2</f>
        <v>59.726455999999999</v>
      </c>
      <c r="E133" s="54"/>
      <c r="F133" s="34"/>
      <c r="G133" s="34"/>
      <c r="H133" s="34"/>
      <c r="I133" s="144"/>
    </row>
    <row r="134" spans="1:10" s="2" customFormat="1" ht="30.75" customHeight="1" x14ac:dyDescent="0.25">
      <c r="A134" s="121">
        <f t="shared" si="7"/>
        <v>3</v>
      </c>
      <c r="B134" s="57" t="s">
        <v>75</v>
      </c>
      <c r="C134" s="58" t="s">
        <v>4</v>
      </c>
      <c r="D134" s="113">
        <f>D132/2</f>
        <v>59.726455999999999</v>
      </c>
      <c r="E134" s="54" t="s">
        <v>28</v>
      </c>
      <c r="F134" s="37" t="s">
        <v>43</v>
      </c>
      <c r="G134" s="38" t="s">
        <v>11</v>
      </c>
      <c r="H134" s="37" t="s">
        <v>61</v>
      </c>
      <c r="I134" s="144">
        <f>(D134*1*0.14)/10</f>
        <v>0.8361703840000001</v>
      </c>
    </row>
    <row r="135" spans="1:10" s="2" customFormat="1" ht="30.75" customHeight="1" x14ac:dyDescent="0.25">
      <c r="A135" s="121">
        <f t="shared" si="7"/>
        <v>4</v>
      </c>
      <c r="B135" s="57" t="s">
        <v>78</v>
      </c>
      <c r="C135" s="58" t="s">
        <v>4</v>
      </c>
      <c r="D135" s="113">
        <f>D132/2</f>
        <v>59.726455999999999</v>
      </c>
      <c r="E135" s="54" t="s">
        <v>37</v>
      </c>
      <c r="F135" s="37" t="s">
        <v>52</v>
      </c>
      <c r="G135" s="38" t="s">
        <v>11</v>
      </c>
      <c r="H135" s="37" t="s">
        <v>51</v>
      </c>
      <c r="I135" s="144">
        <f>(D135*0.48*2)/18</f>
        <v>3.1854109866666662</v>
      </c>
    </row>
    <row r="136" spans="1:10" s="2" customFormat="1" x14ac:dyDescent="0.25">
      <c r="A136" s="121">
        <f t="shared" si="7"/>
        <v>5</v>
      </c>
      <c r="B136" s="57" t="s">
        <v>76</v>
      </c>
      <c r="C136" s="58" t="s">
        <v>4</v>
      </c>
      <c r="D136" s="113">
        <f>D132*1.5</f>
        <v>179.17936800000001</v>
      </c>
      <c r="E136" s="54" t="s">
        <v>29</v>
      </c>
      <c r="F136" s="37" t="s">
        <v>43</v>
      </c>
      <c r="G136" s="38" t="s">
        <v>11</v>
      </c>
      <c r="H136" s="37" t="s">
        <v>61</v>
      </c>
      <c r="I136" s="144">
        <f>(D136*1*0.14)/10</f>
        <v>2.5085111520000005</v>
      </c>
    </row>
    <row r="137" spans="1:10" s="2" customFormat="1" x14ac:dyDescent="0.25">
      <c r="A137" s="121">
        <f t="shared" si="7"/>
        <v>6</v>
      </c>
      <c r="B137" s="57" t="s">
        <v>77</v>
      </c>
      <c r="C137" s="58" t="s">
        <v>4</v>
      </c>
      <c r="D137" s="113">
        <f>D132*1.5</f>
        <v>179.17936800000001</v>
      </c>
      <c r="E137" s="54" t="s">
        <v>32</v>
      </c>
      <c r="F137" s="59" t="s">
        <v>49</v>
      </c>
      <c r="G137" s="60" t="s">
        <v>11</v>
      </c>
      <c r="H137" s="37" t="s">
        <v>50</v>
      </c>
      <c r="I137" s="150">
        <f>(D137*0.15)/14.5</f>
        <v>1.8535796689655173</v>
      </c>
    </row>
    <row r="138" spans="1:10" s="2" customFormat="1" ht="22.5" customHeight="1" x14ac:dyDescent="0.25">
      <c r="A138" s="121">
        <f t="shared" si="7"/>
        <v>7</v>
      </c>
      <c r="B138" s="57" t="s">
        <v>9</v>
      </c>
      <c r="C138" s="58" t="s">
        <v>4</v>
      </c>
      <c r="D138" s="131">
        <f>13.424*9.113-8*0.6*0.6</f>
        <v>119.452912</v>
      </c>
      <c r="E138" s="54" t="s">
        <v>46</v>
      </c>
      <c r="F138" s="61" t="s">
        <v>158</v>
      </c>
      <c r="G138" s="34" t="s">
        <v>4</v>
      </c>
      <c r="H138" s="34"/>
      <c r="I138" s="144">
        <f>D138</f>
        <v>119.452912</v>
      </c>
    </row>
    <row r="139" spans="1:10" s="2" customFormat="1" x14ac:dyDescent="0.25">
      <c r="A139" s="60"/>
      <c r="B139" s="62"/>
      <c r="C139" s="63"/>
      <c r="D139" s="110"/>
      <c r="E139" s="54" t="s">
        <v>47</v>
      </c>
      <c r="F139" s="41" t="s">
        <v>71</v>
      </c>
      <c r="G139" s="34" t="s">
        <v>11</v>
      </c>
      <c r="H139" s="34"/>
      <c r="I139" s="144">
        <v>2</v>
      </c>
    </row>
    <row r="140" spans="1:10" s="2" customFormat="1" x14ac:dyDescent="0.25">
      <c r="A140" s="172" t="s">
        <v>72</v>
      </c>
      <c r="B140" s="172"/>
      <c r="C140" s="172"/>
      <c r="D140" s="172"/>
      <c r="E140" s="172"/>
      <c r="F140" s="172"/>
      <c r="G140" s="172"/>
      <c r="H140" s="172"/>
      <c r="I140" s="172"/>
    </row>
    <row r="141" spans="1:10" s="2" customFormat="1" x14ac:dyDescent="0.25">
      <c r="A141" s="76">
        <v>1</v>
      </c>
      <c r="B141" s="81" t="s">
        <v>73</v>
      </c>
      <c r="C141" s="44" t="s">
        <v>4</v>
      </c>
      <c r="D141" s="138">
        <f>3*5+4.4*3</f>
        <v>28.200000000000003</v>
      </c>
      <c r="E141" s="52"/>
      <c r="F141" s="53"/>
      <c r="G141" s="53"/>
      <c r="H141" s="53"/>
      <c r="I141" s="144"/>
    </row>
    <row r="142" spans="1:10" s="2" customFormat="1" ht="76.5" x14ac:dyDescent="0.25">
      <c r="A142" s="76">
        <v>2</v>
      </c>
      <c r="B142" s="81" t="s">
        <v>79</v>
      </c>
      <c r="C142" s="44" t="s">
        <v>4</v>
      </c>
      <c r="D142" s="138">
        <f>3*5+4.4*3</f>
        <v>28.200000000000003</v>
      </c>
      <c r="E142" s="54" t="s">
        <v>53</v>
      </c>
      <c r="F142" s="51" t="s">
        <v>120</v>
      </c>
      <c r="G142" s="44" t="s">
        <v>4</v>
      </c>
      <c r="H142" s="53"/>
      <c r="I142" s="144">
        <f>D142</f>
        <v>28.200000000000003</v>
      </c>
    </row>
    <row r="143" spans="1:10" s="2" customFormat="1" ht="25.5" x14ac:dyDescent="0.25">
      <c r="A143" s="76">
        <v>3</v>
      </c>
      <c r="B143" s="55" t="s">
        <v>96</v>
      </c>
      <c r="C143" s="44" t="s">
        <v>4</v>
      </c>
      <c r="D143" s="138">
        <f>1.8*(5+4.4)</f>
        <v>16.920000000000002</v>
      </c>
      <c r="E143" s="54" t="s">
        <v>28</v>
      </c>
      <c r="F143" s="51" t="s">
        <v>97</v>
      </c>
      <c r="G143" s="44" t="s">
        <v>4</v>
      </c>
      <c r="H143" s="53"/>
      <c r="I143" s="144">
        <f>D143</f>
        <v>16.920000000000002</v>
      </c>
    </row>
    <row r="144" spans="1:10" s="2" customFormat="1" x14ac:dyDescent="0.25">
      <c r="A144" s="172" t="s">
        <v>16</v>
      </c>
      <c r="B144" s="172"/>
      <c r="C144" s="172"/>
      <c r="D144" s="172"/>
      <c r="E144" s="172"/>
      <c r="F144" s="172"/>
      <c r="G144" s="172"/>
      <c r="H144" s="172"/>
      <c r="I144" s="172"/>
    </row>
    <row r="145" spans="1:9" s="2" customFormat="1" x14ac:dyDescent="0.25">
      <c r="A145" s="78">
        <v>1</v>
      </c>
      <c r="B145" s="81" t="s">
        <v>127</v>
      </c>
      <c r="C145" s="78" t="s">
        <v>4</v>
      </c>
      <c r="D145" s="97">
        <f>(5.516+4.944)*1*0.6</f>
        <v>6.2760000000000007</v>
      </c>
      <c r="E145" s="33"/>
      <c r="F145" s="34"/>
      <c r="G145" s="34"/>
      <c r="H145" s="34"/>
      <c r="I145" s="148"/>
    </row>
    <row r="146" spans="1:9" s="2" customFormat="1" x14ac:dyDescent="0.25">
      <c r="A146" s="78">
        <v>2</v>
      </c>
      <c r="B146" s="81" t="s">
        <v>23</v>
      </c>
      <c r="C146" s="78" t="s">
        <v>4</v>
      </c>
      <c r="D146" s="97">
        <f t="shared" ref="D146:D151" si="8">(5.516+4.944)*1*0.6</f>
        <v>6.2760000000000007</v>
      </c>
      <c r="E146" s="33" t="s">
        <v>53</v>
      </c>
      <c r="F146" s="37" t="s">
        <v>43</v>
      </c>
      <c r="G146" s="38" t="s">
        <v>11</v>
      </c>
      <c r="H146" s="37" t="s">
        <v>61</v>
      </c>
      <c r="I146" s="148">
        <f>(D146*0.14)/10</f>
        <v>8.7864000000000025E-2</v>
      </c>
    </row>
    <row r="147" spans="1:9" s="2" customFormat="1" ht="25.5" x14ac:dyDescent="0.25">
      <c r="A147" s="78">
        <v>3</v>
      </c>
      <c r="B147" s="81" t="s">
        <v>129</v>
      </c>
      <c r="C147" s="78" t="s">
        <v>4</v>
      </c>
      <c r="D147" s="97">
        <f t="shared" si="8"/>
        <v>6.2760000000000007</v>
      </c>
      <c r="E147" s="39" t="s">
        <v>28</v>
      </c>
      <c r="F147" s="40" t="s">
        <v>161</v>
      </c>
      <c r="G147" s="28" t="s">
        <v>11</v>
      </c>
      <c r="H147" s="40" t="s">
        <v>162</v>
      </c>
      <c r="I147" s="148">
        <f>(D147*1.9*5)/20</f>
        <v>2.9811000000000001</v>
      </c>
    </row>
    <row r="148" spans="1:9" s="2" customFormat="1" ht="25.5" x14ac:dyDescent="0.25">
      <c r="A148" s="78">
        <v>4</v>
      </c>
      <c r="B148" s="81" t="s">
        <v>128</v>
      </c>
      <c r="C148" s="35" t="s">
        <v>4</v>
      </c>
      <c r="D148" s="97">
        <f t="shared" si="8"/>
        <v>6.2760000000000007</v>
      </c>
      <c r="E148" s="33" t="s">
        <v>37</v>
      </c>
      <c r="F148" s="41" t="s">
        <v>130</v>
      </c>
      <c r="G148" s="34" t="s">
        <v>59</v>
      </c>
      <c r="H148" s="34" t="s">
        <v>80</v>
      </c>
      <c r="I148" s="148">
        <f>D148*25</f>
        <v>156.9</v>
      </c>
    </row>
    <row r="149" spans="1:9" s="2" customFormat="1" x14ac:dyDescent="0.25">
      <c r="A149" s="78">
        <f t="shared" ref="A149:A195" si="9">A148+1</f>
        <v>5</v>
      </c>
      <c r="B149" s="81" t="s">
        <v>23</v>
      </c>
      <c r="C149" s="35" t="s">
        <v>4</v>
      </c>
      <c r="D149" s="97">
        <f t="shared" si="8"/>
        <v>6.2760000000000007</v>
      </c>
      <c r="E149" s="33" t="s">
        <v>29</v>
      </c>
      <c r="F149" s="37" t="s">
        <v>43</v>
      </c>
      <c r="G149" s="38" t="s">
        <v>11</v>
      </c>
      <c r="H149" s="37" t="s">
        <v>61</v>
      </c>
      <c r="I149" s="148">
        <f>(D149*0.14)/10</f>
        <v>8.7864000000000025E-2</v>
      </c>
    </row>
    <row r="150" spans="1:9" s="2" customFormat="1" x14ac:dyDescent="0.25">
      <c r="A150" s="78">
        <f t="shared" si="9"/>
        <v>6</v>
      </c>
      <c r="B150" s="81" t="s">
        <v>131</v>
      </c>
      <c r="C150" s="35" t="s">
        <v>4</v>
      </c>
      <c r="D150" s="97">
        <f t="shared" si="8"/>
        <v>6.2760000000000007</v>
      </c>
      <c r="E150" s="42" t="s">
        <v>32</v>
      </c>
      <c r="F150" s="41" t="s">
        <v>52</v>
      </c>
      <c r="G150" s="34" t="s">
        <v>11</v>
      </c>
      <c r="H150" s="41" t="s">
        <v>51</v>
      </c>
      <c r="I150" s="148">
        <f>(D150*0.48)/18</f>
        <v>0.16736000000000001</v>
      </c>
    </row>
    <row r="151" spans="1:9" s="2" customFormat="1" x14ac:dyDescent="0.25">
      <c r="A151" s="78">
        <v>7</v>
      </c>
      <c r="B151" s="81" t="s">
        <v>132</v>
      </c>
      <c r="C151" s="35" t="s">
        <v>4</v>
      </c>
      <c r="D151" s="97">
        <f t="shared" si="8"/>
        <v>6.2760000000000007</v>
      </c>
      <c r="E151" s="42" t="s">
        <v>46</v>
      </c>
      <c r="F151" s="43" t="s">
        <v>49</v>
      </c>
      <c r="G151" s="44" t="s">
        <v>11</v>
      </c>
      <c r="H151" s="41" t="s">
        <v>50</v>
      </c>
      <c r="I151" s="148">
        <f>(D151*0.15)/14.5</f>
        <v>6.4924137931034478E-2</v>
      </c>
    </row>
    <row r="152" spans="1:9" s="2" customFormat="1" x14ac:dyDescent="0.25">
      <c r="A152" s="83">
        <v>8</v>
      </c>
      <c r="B152" s="185" t="s">
        <v>154</v>
      </c>
      <c r="C152" s="45" t="s">
        <v>10</v>
      </c>
      <c r="D152" s="131">
        <f>1.56+2*2.121</f>
        <v>5.8019999999999996</v>
      </c>
      <c r="E152" s="46" t="s">
        <v>44</v>
      </c>
      <c r="F152" s="41" t="s">
        <v>82</v>
      </c>
      <c r="G152" s="44" t="s">
        <v>11</v>
      </c>
      <c r="H152" s="41"/>
      <c r="I152" s="148">
        <f>(D152*0.15)/3.6</f>
        <v>0.24174999999999999</v>
      </c>
    </row>
    <row r="153" spans="1:9" s="2" customFormat="1" x14ac:dyDescent="0.25">
      <c r="A153" s="47"/>
      <c r="B153" s="186"/>
      <c r="C153" s="48"/>
      <c r="D153" s="134"/>
      <c r="E153" s="46" t="s">
        <v>115</v>
      </c>
      <c r="F153" s="41" t="s">
        <v>83</v>
      </c>
      <c r="G153" s="44" t="s">
        <v>11</v>
      </c>
      <c r="H153" s="41"/>
      <c r="I153" s="148">
        <v>3</v>
      </c>
    </row>
    <row r="154" spans="1:9" x14ac:dyDescent="0.25">
      <c r="A154" s="47"/>
      <c r="B154" s="68"/>
      <c r="C154" s="48"/>
      <c r="D154" s="134"/>
      <c r="E154" s="46" t="s">
        <v>116</v>
      </c>
      <c r="F154" s="41" t="s">
        <v>84</v>
      </c>
      <c r="G154" s="44" t="s">
        <v>11</v>
      </c>
      <c r="H154" s="41"/>
      <c r="I154" s="148">
        <v>2</v>
      </c>
    </row>
    <row r="155" spans="1:9" ht="81" customHeight="1" x14ac:dyDescent="0.25">
      <c r="A155" s="47"/>
      <c r="B155" s="68"/>
      <c r="C155" s="48"/>
      <c r="D155" s="134"/>
      <c r="E155" s="46" t="s">
        <v>163</v>
      </c>
      <c r="F155" s="41" t="s">
        <v>39</v>
      </c>
      <c r="G155" s="44" t="s">
        <v>11</v>
      </c>
      <c r="H155" s="41"/>
      <c r="I155" s="148">
        <f>I154*6</f>
        <v>12</v>
      </c>
    </row>
    <row r="156" spans="1:9" s="2" customFormat="1" x14ac:dyDescent="0.25">
      <c r="A156" s="47"/>
      <c r="B156" s="68"/>
      <c r="C156" s="48"/>
      <c r="D156" s="134"/>
      <c r="E156" s="46" t="s">
        <v>164</v>
      </c>
      <c r="F156" s="41" t="s">
        <v>40</v>
      </c>
      <c r="G156" s="44" t="s">
        <v>11</v>
      </c>
      <c r="H156" s="41"/>
      <c r="I156" s="148">
        <f>D152*13*0.4</f>
        <v>30.170399999999997</v>
      </c>
    </row>
    <row r="157" spans="1:9" s="2" customFormat="1" ht="15" customHeight="1" x14ac:dyDescent="0.25">
      <c r="A157" s="47"/>
      <c r="B157" s="68"/>
      <c r="C157" s="48"/>
      <c r="D157" s="134"/>
      <c r="E157" s="46" t="s">
        <v>165</v>
      </c>
      <c r="F157" s="41" t="s">
        <v>41</v>
      </c>
      <c r="G157" s="44" t="s">
        <v>11</v>
      </c>
      <c r="H157" s="41"/>
      <c r="I157" s="148">
        <v>12</v>
      </c>
    </row>
    <row r="158" spans="1:9" s="2" customFormat="1" x14ac:dyDescent="0.25">
      <c r="A158" s="84"/>
      <c r="B158" s="69"/>
      <c r="C158" s="48"/>
      <c r="D158" s="134"/>
      <c r="E158" s="46" t="s">
        <v>166</v>
      </c>
      <c r="F158" s="41" t="s">
        <v>42</v>
      </c>
      <c r="G158" s="44" t="s">
        <v>11</v>
      </c>
      <c r="H158" s="41"/>
      <c r="I158" s="148">
        <f>I157</f>
        <v>12</v>
      </c>
    </row>
    <row r="159" spans="1:9" s="2" customFormat="1" x14ac:dyDescent="0.25">
      <c r="A159" s="83">
        <v>9</v>
      </c>
      <c r="B159" s="178" t="s">
        <v>133</v>
      </c>
      <c r="C159" s="11" t="s">
        <v>4</v>
      </c>
      <c r="D159" s="135">
        <f>(5.516+4.944)*4.32-3*5-3*4.5-1.2*0.6*2</f>
        <v>15.247200000000005</v>
      </c>
      <c r="E159" s="42" t="s">
        <v>45</v>
      </c>
      <c r="F159" s="4" t="s">
        <v>134</v>
      </c>
      <c r="G159" s="76" t="s">
        <v>4</v>
      </c>
      <c r="H159" s="6"/>
      <c r="I159" s="148">
        <f>D159*1.1</f>
        <v>16.771920000000005</v>
      </c>
    </row>
    <row r="160" spans="1:9" s="2" customFormat="1" x14ac:dyDescent="0.25">
      <c r="A160" s="29"/>
      <c r="B160" s="179"/>
      <c r="C160" s="12"/>
      <c r="D160" s="136"/>
      <c r="E160" s="42" t="s">
        <v>110</v>
      </c>
      <c r="F160" s="81" t="s">
        <v>135</v>
      </c>
      <c r="G160" s="76" t="s">
        <v>10</v>
      </c>
      <c r="H160" s="7"/>
      <c r="I160" s="148">
        <f>(D159/10)*12</f>
        <v>18.296640000000007</v>
      </c>
    </row>
    <row r="161" spans="1:9" s="2" customFormat="1" x14ac:dyDescent="0.25">
      <c r="A161" s="29"/>
      <c r="B161" s="179"/>
      <c r="C161" s="12"/>
      <c r="D161" s="136"/>
      <c r="E161" s="42" t="s">
        <v>111</v>
      </c>
      <c r="F161" s="4" t="s">
        <v>136</v>
      </c>
      <c r="G161" s="76" t="s">
        <v>10</v>
      </c>
      <c r="H161" s="6"/>
      <c r="I161" s="148">
        <f>(D159/10)*22</f>
        <v>33.54384000000001</v>
      </c>
    </row>
    <row r="162" spans="1:9" s="2" customFormat="1" x14ac:dyDescent="0.25">
      <c r="A162" s="29"/>
      <c r="B162" s="179"/>
      <c r="C162" s="12"/>
      <c r="D162" s="136"/>
      <c r="E162" s="42" t="s">
        <v>112</v>
      </c>
      <c r="F162" s="5" t="s">
        <v>137</v>
      </c>
      <c r="G162" s="76" t="s">
        <v>10</v>
      </c>
      <c r="H162" s="7"/>
      <c r="I162" s="148">
        <f>I160</f>
        <v>18.296640000000007</v>
      </c>
    </row>
    <row r="163" spans="1:9" s="2" customFormat="1" x14ac:dyDescent="0.25">
      <c r="A163" s="29"/>
      <c r="B163" s="13"/>
      <c r="C163" s="12"/>
      <c r="D163" s="136"/>
      <c r="E163" s="42" t="s">
        <v>167</v>
      </c>
      <c r="F163" s="4" t="s">
        <v>138</v>
      </c>
      <c r="G163" s="76" t="s">
        <v>10</v>
      </c>
      <c r="H163" s="6"/>
      <c r="I163" s="148">
        <f>I161/2</f>
        <v>16.771920000000005</v>
      </c>
    </row>
    <row r="164" spans="1:9" s="2" customFormat="1" x14ac:dyDescent="0.25">
      <c r="A164" s="84"/>
      <c r="B164" s="14"/>
      <c r="C164" s="80"/>
      <c r="D164" s="137"/>
      <c r="E164" s="42" t="s">
        <v>168</v>
      </c>
      <c r="F164" s="4" t="s">
        <v>139</v>
      </c>
      <c r="G164" s="76" t="s">
        <v>11</v>
      </c>
      <c r="H164" s="6"/>
      <c r="I164" s="148">
        <f>(D159/10)*20</f>
        <v>30.494400000000009</v>
      </c>
    </row>
    <row r="165" spans="1:9" s="2" customFormat="1" x14ac:dyDescent="0.25">
      <c r="A165" s="83">
        <v>10</v>
      </c>
      <c r="B165" s="70" t="s">
        <v>140</v>
      </c>
      <c r="C165" s="12" t="s">
        <v>11</v>
      </c>
      <c r="D165" s="136">
        <v>2</v>
      </c>
      <c r="E165" s="42" t="s">
        <v>54</v>
      </c>
      <c r="F165" s="5" t="s">
        <v>95</v>
      </c>
      <c r="G165" s="76" t="s">
        <v>11</v>
      </c>
      <c r="H165" s="6"/>
      <c r="I165" s="148">
        <v>2</v>
      </c>
    </row>
    <row r="166" spans="1:9" s="2" customFormat="1" x14ac:dyDescent="0.25">
      <c r="A166" s="23">
        <v>11</v>
      </c>
      <c r="B166" s="174" t="s">
        <v>182</v>
      </c>
      <c r="C166" s="11" t="s">
        <v>4</v>
      </c>
      <c r="D166" s="135">
        <f>2.21*3.7+5.4*3.7</f>
        <v>28.157000000000004</v>
      </c>
      <c r="E166" s="30" t="s">
        <v>169</v>
      </c>
      <c r="F166" s="4" t="s">
        <v>134</v>
      </c>
      <c r="G166" s="76" t="s">
        <v>4</v>
      </c>
      <c r="H166" s="8"/>
      <c r="I166" s="148">
        <f>D166*4*1.1</f>
        <v>123.89080000000003</v>
      </c>
    </row>
    <row r="167" spans="1:9" s="2" customFormat="1" x14ac:dyDescent="0.25">
      <c r="A167" s="26"/>
      <c r="B167" s="175"/>
      <c r="C167" s="12"/>
      <c r="D167" s="136"/>
      <c r="E167" s="42" t="s">
        <v>170</v>
      </c>
      <c r="F167" s="4" t="s">
        <v>149</v>
      </c>
      <c r="G167" s="76" t="s">
        <v>11</v>
      </c>
      <c r="H167" s="8"/>
      <c r="I167" s="148">
        <f>(3.7*4+3*2+5.4*2)/3+1</f>
        <v>11.533333333333333</v>
      </c>
    </row>
    <row r="168" spans="1:9" s="2" customFormat="1" x14ac:dyDescent="0.25">
      <c r="A168" s="26"/>
      <c r="B168" s="175"/>
      <c r="C168" s="12"/>
      <c r="D168" s="136"/>
      <c r="E168" s="42" t="s">
        <v>172</v>
      </c>
      <c r="F168" s="4" t="s">
        <v>150</v>
      </c>
      <c r="G168" s="76" t="s">
        <v>11</v>
      </c>
      <c r="H168" s="8"/>
      <c r="I168" s="148">
        <f>((2.2+5.4)/0.4)*(3.7/3)+1</f>
        <v>24.433333333333334</v>
      </c>
    </row>
    <row r="169" spans="1:9" s="2" customFormat="1" x14ac:dyDescent="0.25">
      <c r="A169" s="26"/>
      <c r="B169" s="175"/>
      <c r="C169" s="12"/>
      <c r="D169" s="136"/>
      <c r="E169" s="42" t="s">
        <v>173</v>
      </c>
      <c r="F169" s="4" t="s">
        <v>151</v>
      </c>
      <c r="G169" s="76" t="s">
        <v>152</v>
      </c>
      <c r="H169" s="8"/>
      <c r="I169" s="148">
        <f>D166</f>
        <v>28.157000000000004</v>
      </c>
    </row>
    <row r="170" spans="1:9" s="2" customFormat="1" x14ac:dyDescent="0.25">
      <c r="A170" s="26"/>
      <c r="B170" s="71"/>
      <c r="C170" s="47"/>
      <c r="D170" s="132"/>
      <c r="E170" s="42" t="s">
        <v>174</v>
      </c>
      <c r="F170" s="5" t="s">
        <v>137</v>
      </c>
      <c r="G170" s="76" t="s">
        <v>10</v>
      </c>
      <c r="H170" s="9"/>
      <c r="I170" s="149">
        <f>I167*3</f>
        <v>34.6</v>
      </c>
    </row>
    <row r="171" spans="1:9" s="2" customFormat="1" x14ac:dyDescent="0.25">
      <c r="A171" s="26"/>
      <c r="B171" s="72"/>
      <c r="C171" s="12"/>
      <c r="D171" s="136"/>
      <c r="E171" s="42" t="s">
        <v>171</v>
      </c>
      <c r="F171" s="4" t="s">
        <v>138</v>
      </c>
      <c r="G171" s="76" t="s">
        <v>10</v>
      </c>
      <c r="H171" s="8"/>
      <c r="I171" s="148">
        <f>((D166*2)/3)/1.2*3</f>
        <v>46.928333333333335</v>
      </c>
    </row>
    <row r="172" spans="1:9" s="2" customFormat="1" x14ac:dyDescent="0.25">
      <c r="A172" s="26"/>
      <c r="B172" s="73"/>
      <c r="C172" s="80"/>
      <c r="D172" s="137"/>
      <c r="E172" s="42" t="s">
        <v>186</v>
      </c>
      <c r="F172" s="4" t="s">
        <v>187</v>
      </c>
      <c r="G172" s="76" t="s">
        <v>10</v>
      </c>
      <c r="H172" s="8"/>
      <c r="I172" s="148">
        <v>4</v>
      </c>
    </row>
    <row r="173" spans="1:9" s="2" customFormat="1" x14ac:dyDescent="0.25">
      <c r="A173" s="83">
        <v>12</v>
      </c>
      <c r="B173" s="177" t="s">
        <v>183</v>
      </c>
      <c r="C173" s="12" t="s">
        <v>4</v>
      </c>
      <c r="D173" s="136">
        <f>4*3.7*0.7+3*3.7*0.7+2*3.7*0.7+2*3.7*(0.7+2)+3.7*(0.7*2+2)</f>
        <v>55.870000000000005</v>
      </c>
      <c r="E173" s="42" t="s">
        <v>56</v>
      </c>
      <c r="F173" s="4" t="s">
        <v>134</v>
      </c>
      <c r="G173" s="76" t="s">
        <v>4</v>
      </c>
      <c r="H173" s="6"/>
      <c r="I173" s="148">
        <f>D173*1.1</f>
        <v>61.457000000000008</v>
      </c>
    </row>
    <row r="174" spans="1:9" s="2" customFormat="1" x14ac:dyDescent="0.25">
      <c r="A174" s="47"/>
      <c r="B174" s="177"/>
      <c r="C174" s="12"/>
      <c r="D174" s="136"/>
      <c r="E174" s="42" t="s">
        <v>189</v>
      </c>
      <c r="F174" s="81" t="s">
        <v>184</v>
      </c>
      <c r="G174" s="76" t="s">
        <v>10</v>
      </c>
      <c r="H174" s="7"/>
      <c r="I174" s="148">
        <f>0.7*16*2+3*2*2+10*3.7</f>
        <v>71.400000000000006</v>
      </c>
    </row>
    <row r="175" spans="1:9" s="2" customFormat="1" x14ac:dyDescent="0.25">
      <c r="A175" s="47"/>
      <c r="B175" s="177"/>
      <c r="C175" s="12"/>
      <c r="D175" s="136"/>
      <c r="E175" s="42" t="s">
        <v>190</v>
      </c>
      <c r="F175" s="4" t="s">
        <v>185</v>
      </c>
      <c r="G175" s="76" t="s">
        <v>10</v>
      </c>
      <c r="H175" s="6"/>
      <c r="I175" s="148">
        <f>(10+6+6+4+4+3)*3.7</f>
        <v>122.10000000000001</v>
      </c>
    </row>
    <row r="176" spans="1:9" s="2" customFormat="1" x14ac:dyDescent="0.25">
      <c r="A176" s="47"/>
      <c r="B176" s="177"/>
      <c r="C176" s="12"/>
      <c r="D176" s="136"/>
      <c r="E176" s="42" t="s">
        <v>191</v>
      </c>
      <c r="F176" s="5" t="s">
        <v>137</v>
      </c>
      <c r="G176" s="76" t="s">
        <v>10</v>
      </c>
      <c r="H176" s="7"/>
      <c r="I176" s="148">
        <f>I174</f>
        <v>71.400000000000006</v>
      </c>
    </row>
    <row r="177" spans="1:9" s="2" customFormat="1" x14ac:dyDescent="0.25">
      <c r="A177" s="47"/>
      <c r="B177" s="13"/>
      <c r="C177" s="12"/>
      <c r="D177" s="136"/>
      <c r="E177" s="42" t="s">
        <v>192</v>
      </c>
      <c r="F177" s="4" t="s">
        <v>138</v>
      </c>
      <c r="G177" s="76" t="s">
        <v>10</v>
      </c>
      <c r="H177" s="6"/>
      <c r="I177" s="148">
        <f>I175/2</f>
        <v>61.050000000000004</v>
      </c>
    </row>
    <row r="178" spans="1:9" s="2" customFormat="1" x14ac:dyDescent="0.25">
      <c r="A178" s="84"/>
      <c r="B178" s="14"/>
      <c r="C178" s="80"/>
      <c r="D178" s="137"/>
      <c r="E178" s="42" t="s">
        <v>193</v>
      </c>
      <c r="F178" s="4" t="s">
        <v>139</v>
      </c>
      <c r="G178" s="76" t="s">
        <v>11</v>
      </c>
      <c r="H178" s="6"/>
      <c r="I178" s="148">
        <f>(D173/10)*20</f>
        <v>111.74000000000001</v>
      </c>
    </row>
    <row r="179" spans="1:9" s="2" customFormat="1" ht="17.25" customHeight="1" x14ac:dyDescent="0.25">
      <c r="A179" s="47">
        <v>13</v>
      </c>
      <c r="B179" s="14" t="s">
        <v>188</v>
      </c>
      <c r="C179" s="80" t="s">
        <v>4</v>
      </c>
      <c r="D179" s="137">
        <f>13.424*3.5-1.56*2.1</f>
        <v>43.707999999999991</v>
      </c>
      <c r="E179" s="42"/>
      <c r="F179" s="4"/>
      <c r="G179" s="76"/>
      <c r="H179" s="6"/>
      <c r="I179" s="148"/>
    </row>
    <row r="180" spans="1:9" s="2" customFormat="1" x14ac:dyDescent="0.25">
      <c r="A180" s="83">
        <v>14</v>
      </c>
      <c r="B180" s="176" t="s">
        <v>206</v>
      </c>
      <c r="C180" s="11" t="s">
        <v>4</v>
      </c>
      <c r="D180" s="135">
        <f>13.424*4.32-1.56*2.1+(2.21+5.4)*3.7</f>
        <v>82.872680000000003</v>
      </c>
      <c r="E180" s="42" t="s">
        <v>98</v>
      </c>
      <c r="F180" s="4" t="s">
        <v>134</v>
      </c>
      <c r="G180" s="76" t="s">
        <v>4</v>
      </c>
      <c r="H180" s="6"/>
      <c r="I180" s="148">
        <f>D180*1.1</f>
        <v>91.159948000000014</v>
      </c>
    </row>
    <row r="181" spans="1:9" s="2" customFormat="1" x14ac:dyDescent="0.25">
      <c r="A181" s="47"/>
      <c r="B181" s="177"/>
      <c r="C181" s="12"/>
      <c r="D181" s="136"/>
      <c r="E181" s="42" t="s">
        <v>194</v>
      </c>
      <c r="F181" s="81" t="s">
        <v>184</v>
      </c>
      <c r="G181" s="76" t="s">
        <v>10</v>
      </c>
      <c r="H181" s="7"/>
      <c r="I181" s="148">
        <f>13.424*2+2*4.1+(2.2+5.4)*2+3.7*4</f>
        <v>65.048000000000002</v>
      </c>
    </row>
    <row r="182" spans="1:9" s="2" customFormat="1" x14ac:dyDescent="0.25">
      <c r="A182" s="47"/>
      <c r="B182" s="177"/>
      <c r="C182" s="12"/>
      <c r="D182" s="136"/>
      <c r="E182" s="42" t="s">
        <v>195</v>
      </c>
      <c r="F182" s="4" t="s">
        <v>185</v>
      </c>
      <c r="G182" s="76" t="s">
        <v>10</v>
      </c>
      <c r="H182" s="6"/>
      <c r="I182" s="148">
        <f>((2.2+5.4)/0.4)*3.7+13.4/0.4*4.32</f>
        <v>215.01999999999998</v>
      </c>
    </row>
    <row r="183" spans="1:9" s="2" customFormat="1" x14ac:dyDescent="0.25">
      <c r="A183" s="47"/>
      <c r="B183" s="177"/>
      <c r="C183" s="12"/>
      <c r="D183" s="136"/>
      <c r="E183" s="42" t="s">
        <v>196</v>
      </c>
      <c r="F183" s="5" t="s">
        <v>137</v>
      </c>
      <c r="G183" s="76" t="s">
        <v>10</v>
      </c>
      <c r="H183" s="7"/>
      <c r="I183" s="148">
        <f>I181</f>
        <v>65.048000000000002</v>
      </c>
    </row>
    <row r="184" spans="1:9" s="2" customFormat="1" x14ac:dyDescent="0.25">
      <c r="A184" s="47"/>
      <c r="B184" s="13"/>
      <c r="C184" s="12"/>
      <c r="D184" s="136"/>
      <c r="E184" s="42" t="s">
        <v>197</v>
      </c>
      <c r="F184" s="4" t="s">
        <v>138</v>
      </c>
      <c r="G184" s="76" t="s">
        <v>10</v>
      </c>
      <c r="H184" s="6"/>
      <c r="I184" s="148">
        <f>I182/2</f>
        <v>107.50999999999999</v>
      </c>
    </row>
    <row r="185" spans="1:9" s="2" customFormat="1" x14ac:dyDescent="0.25">
      <c r="A185" s="84"/>
      <c r="B185" s="14"/>
      <c r="C185" s="80"/>
      <c r="D185" s="137"/>
      <c r="E185" s="42" t="s">
        <v>198</v>
      </c>
      <c r="F185" s="4" t="s">
        <v>139</v>
      </c>
      <c r="G185" s="76" t="s">
        <v>11</v>
      </c>
      <c r="H185" s="6"/>
      <c r="I185" s="148">
        <f>(D180/10)*20</f>
        <v>165.74536000000001</v>
      </c>
    </row>
    <row r="186" spans="1:9" s="2" customFormat="1" ht="15" customHeight="1" x14ac:dyDescent="0.25">
      <c r="A186" s="84">
        <v>15</v>
      </c>
      <c r="B186" s="82" t="s">
        <v>141</v>
      </c>
      <c r="C186" s="76" t="s">
        <v>4</v>
      </c>
      <c r="D186" s="108">
        <f>D180+D173+D166*2+D159</f>
        <v>210.30388000000002</v>
      </c>
      <c r="E186" s="42" t="s">
        <v>109</v>
      </c>
      <c r="F186" s="75" t="s">
        <v>142</v>
      </c>
      <c r="G186" s="78" t="s">
        <v>11</v>
      </c>
      <c r="H186" s="79"/>
      <c r="I186" s="79">
        <f>(D186*3*0.14)/10</f>
        <v>8.8327629600000002</v>
      </c>
    </row>
    <row r="187" spans="1:9" s="2" customFormat="1" x14ac:dyDescent="0.25">
      <c r="A187" s="78">
        <v>16</v>
      </c>
      <c r="B187" s="82" t="s">
        <v>143</v>
      </c>
      <c r="C187" s="76" t="s">
        <v>4</v>
      </c>
      <c r="D187" s="108">
        <f>D186</f>
        <v>210.30388000000002</v>
      </c>
      <c r="E187" s="42" t="s">
        <v>99</v>
      </c>
      <c r="F187" s="77" t="s">
        <v>144</v>
      </c>
      <c r="G187" s="78" t="s">
        <v>11</v>
      </c>
      <c r="H187" s="79"/>
      <c r="I187" s="79">
        <f>(D187/9)*(2/3)</f>
        <v>15.578065185185185</v>
      </c>
    </row>
    <row r="188" spans="1:9" s="2" customFormat="1" x14ac:dyDescent="0.25">
      <c r="A188" s="78">
        <v>17</v>
      </c>
      <c r="B188" s="77" t="s">
        <v>145</v>
      </c>
      <c r="C188" s="78" t="s">
        <v>4</v>
      </c>
      <c r="D188" s="108">
        <f>D180+D166*2+D159+0.7*4*2</f>
        <v>160.03388000000001</v>
      </c>
      <c r="E188" s="42" t="s">
        <v>175</v>
      </c>
      <c r="F188" s="77" t="s">
        <v>146</v>
      </c>
      <c r="G188" s="78" t="s">
        <v>4</v>
      </c>
      <c r="H188" s="79"/>
      <c r="I188" s="79">
        <f>D188*1.1</f>
        <v>176.03726800000004</v>
      </c>
    </row>
    <row r="189" spans="1:9" s="2" customFormat="1" x14ac:dyDescent="0.25">
      <c r="A189" s="78">
        <v>18</v>
      </c>
      <c r="B189" s="82" t="s">
        <v>65</v>
      </c>
      <c r="C189" s="76" t="s">
        <v>4</v>
      </c>
      <c r="D189" s="108">
        <f>D186</f>
        <v>210.30388000000002</v>
      </c>
      <c r="E189" s="42"/>
      <c r="F189" s="43"/>
      <c r="G189" s="44"/>
      <c r="H189" s="41"/>
      <c r="I189" s="144"/>
    </row>
    <row r="190" spans="1:9" s="2" customFormat="1" ht="38.25" x14ac:dyDescent="0.25">
      <c r="A190" s="78">
        <v>19</v>
      </c>
      <c r="B190" s="82" t="s">
        <v>147</v>
      </c>
      <c r="C190" s="76" t="s">
        <v>4</v>
      </c>
      <c r="D190" s="108">
        <f>D186</f>
        <v>210.30388000000002</v>
      </c>
      <c r="E190" s="42" t="s">
        <v>199</v>
      </c>
      <c r="F190" s="75" t="s">
        <v>148</v>
      </c>
      <c r="G190" s="78" t="s">
        <v>11</v>
      </c>
      <c r="H190" s="79"/>
      <c r="I190" s="79">
        <f>(D190*2)/93</f>
        <v>4.5226640860215062</v>
      </c>
    </row>
    <row r="191" spans="1:9" s="2" customFormat="1" x14ac:dyDescent="0.25">
      <c r="A191" s="78">
        <v>20</v>
      </c>
      <c r="B191" s="82" t="s">
        <v>159</v>
      </c>
      <c r="C191" s="76" t="s">
        <v>10</v>
      </c>
      <c r="D191" s="108">
        <f>1.56+2*2.121+12*3.7</f>
        <v>50.202000000000005</v>
      </c>
      <c r="E191" s="30" t="s">
        <v>177</v>
      </c>
      <c r="F191" s="77" t="s">
        <v>160</v>
      </c>
      <c r="G191" s="78" t="s">
        <v>11</v>
      </c>
      <c r="H191" s="10"/>
      <c r="I191" s="79">
        <f>(D191/3)*1.1</f>
        <v>18.407400000000003</v>
      </c>
    </row>
    <row r="192" spans="1:9" s="2" customFormat="1" x14ac:dyDescent="0.25">
      <c r="A192" s="78">
        <v>21</v>
      </c>
      <c r="B192" s="81" t="s">
        <v>5</v>
      </c>
      <c r="C192" s="35" t="s">
        <v>10</v>
      </c>
      <c r="D192" s="108">
        <f t="shared" ref="D192:D195" si="10">1.56+2*2.121</f>
        <v>5.8019999999999996</v>
      </c>
      <c r="E192" s="42" t="s">
        <v>178</v>
      </c>
      <c r="F192" s="41" t="s">
        <v>43</v>
      </c>
      <c r="G192" s="34" t="s">
        <v>11</v>
      </c>
      <c r="H192" s="41" t="s">
        <v>61</v>
      </c>
      <c r="I192" s="79">
        <f>(D192*2*0.14*0.4)/10</f>
        <v>6.498240000000001E-2</v>
      </c>
    </row>
    <row r="193" spans="1:9" s="2" customFormat="1" x14ac:dyDescent="0.25">
      <c r="A193" s="78">
        <f t="shared" si="9"/>
        <v>22</v>
      </c>
      <c r="B193" s="81" t="s">
        <v>22</v>
      </c>
      <c r="C193" s="35" t="s">
        <v>10</v>
      </c>
      <c r="D193" s="108">
        <f t="shared" si="10"/>
        <v>5.8019999999999996</v>
      </c>
      <c r="E193" s="42" t="s">
        <v>179</v>
      </c>
      <c r="F193" s="41" t="s">
        <v>52</v>
      </c>
      <c r="G193" s="34" t="s">
        <v>11</v>
      </c>
      <c r="H193" s="41" t="s">
        <v>51</v>
      </c>
      <c r="I193" s="79">
        <f>(D193*0.48*2*0.4)/18</f>
        <v>0.12377600000000001</v>
      </c>
    </row>
    <row r="194" spans="1:9" s="2" customFormat="1" x14ac:dyDescent="0.25">
      <c r="A194" s="78">
        <f t="shared" si="9"/>
        <v>23</v>
      </c>
      <c r="B194" s="81" t="s">
        <v>65</v>
      </c>
      <c r="C194" s="35" t="s">
        <v>10</v>
      </c>
      <c r="D194" s="108">
        <f t="shared" si="10"/>
        <v>5.8019999999999996</v>
      </c>
      <c r="E194" s="42"/>
      <c r="F194" s="41"/>
      <c r="G194" s="34"/>
      <c r="H194" s="41"/>
      <c r="I194" s="79"/>
    </row>
    <row r="195" spans="1:9" s="2" customFormat="1" x14ac:dyDescent="0.25">
      <c r="A195" s="78">
        <f t="shared" si="9"/>
        <v>24</v>
      </c>
      <c r="B195" s="81" t="s">
        <v>6</v>
      </c>
      <c r="C195" s="35" t="s">
        <v>10</v>
      </c>
      <c r="D195" s="108">
        <f t="shared" si="10"/>
        <v>5.8019999999999996</v>
      </c>
      <c r="E195" s="42" t="s">
        <v>200</v>
      </c>
      <c r="F195" s="51" t="s">
        <v>49</v>
      </c>
      <c r="G195" s="44" t="s">
        <v>11</v>
      </c>
      <c r="H195" s="41" t="s">
        <v>50</v>
      </c>
      <c r="I195" s="79">
        <f>(D195*0.15*0.4*2)/14.5</f>
        <v>4.8016551724137928E-2</v>
      </c>
    </row>
    <row r="196" spans="1:9" s="2" customFormat="1" x14ac:dyDescent="0.25">
      <c r="A196" s="172" t="s">
        <v>18</v>
      </c>
      <c r="B196" s="172"/>
      <c r="C196" s="172"/>
      <c r="D196" s="172"/>
      <c r="E196" s="172"/>
      <c r="F196" s="172"/>
      <c r="G196" s="172"/>
      <c r="H196" s="172"/>
      <c r="I196" s="172"/>
    </row>
    <row r="197" spans="1:9" s="2" customFormat="1" x14ac:dyDescent="0.25">
      <c r="A197" s="44">
        <v>1</v>
      </c>
      <c r="B197" s="55" t="s">
        <v>19</v>
      </c>
      <c r="C197" s="44" t="s">
        <v>20</v>
      </c>
      <c r="D197" s="138">
        <v>2.2000000000000002</v>
      </c>
      <c r="E197" s="65"/>
      <c r="F197" s="64"/>
      <c r="G197" s="64"/>
      <c r="H197" s="64"/>
      <c r="I197" s="147"/>
    </row>
    <row r="198" spans="1:9" s="2" customFormat="1" x14ac:dyDescent="0.25">
      <c r="A198" s="44">
        <v>2</v>
      </c>
      <c r="B198" s="55" t="s">
        <v>21</v>
      </c>
      <c r="C198" s="44" t="s">
        <v>20</v>
      </c>
      <c r="D198" s="138">
        <v>0.6</v>
      </c>
      <c r="E198" s="65"/>
      <c r="F198" s="64"/>
      <c r="G198" s="64"/>
      <c r="H198" s="64"/>
      <c r="I198" s="147"/>
    </row>
    <row r="199" spans="1:9" s="2" customFormat="1" ht="25.5" x14ac:dyDescent="0.25">
      <c r="A199" s="44">
        <v>3</v>
      </c>
      <c r="B199" s="55" t="s">
        <v>81</v>
      </c>
      <c r="C199" s="44" t="s">
        <v>11</v>
      </c>
      <c r="D199" s="138">
        <v>1</v>
      </c>
      <c r="E199" s="66"/>
      <c r="F199" s="67"/>
      <c r="G199" s="67"/>
      <c r="H199" s="67"/>
      <c r="I199" s="151"/>
    </row>
    <row r="200" spans="1:9" s="2" customFormat="1" x14ac:dyDescent="0.25">
      <c r="A200" s="173" t="s">
        <v>202</v>
      </c>
      <c r="B200" s="173"/>
      <c r="C200" s="173"/>
      <c r="D200" s="173"/>
      <c r="E200" s="173"/>
      <c r="F200" s="173"/>
      <c r="G200" s="173"/>
      <c r="H200" s="173"/>
      <c r="I200" s="173"/>
    </row>
    <row r="201" spans="1:9" s="2" customFormat="1" x14ac:dyDescent="0.25">
      <c r="A201" s="180" t="s">
        <v>15</v>
      </c>
      <c r="B201" s="181"/>
      <c r="C201" s="181"/>
      <c r="D201" s="181"/>
      <c r="E201" s="181"/>
      <c r="F201" s="181"/>
      <c r="G201" s="181"/>
      <c r="H201" s="181"/>
      <c r="I201" s="182"/>
    </row>
    <row r="202" spans="1:9" s="2" customFormat="1" x14ac:dyDescent="0.25">
      <c r="A202" s="11">
        <f>1</f>
        <v>1</v>
      </c>
      <c r="B202" s="106" t="s">
        <v>126</v>
      </c>
      <c r="C202" s="83" t="s">
        <v>4</v>
      </c>
      <c r="D202" s="131">
        <f>(6.2+4.8+0.2)*8.98-3*0.6*0.6</f>
        <v>99.495999999999995</v>
      </c>
      <c r="E202" s="16"/>
      <c r="F202" s="17"/>
      <c r="G202" s="17"/>
      <c r="H202" s="17"/>
      <c r="I202" s="79"/>
    </row>
    <row r="203" spans="1:9" s="2" customFormat="1" x14ac:dyDescent="0.25">
      <c r="A203" s="76">
        <f t="shared" ref="A203:A208" si="11">A202+1</f>
        <v>2</v>
      </c>
      <c r="B203" s="106" t="s">
        <v>114</v>
      </c>
      <c r="C203" s="78" t="s">
        <v>4</v>
      </c>
      <c r="D203" s="131">
        <f>(6.2+4.8+0.2)*8.98-3*0.6*0.6</f>
        <v>99.495999999999995</v>
      </c>
      <c r="E203" s="18"/>
      <c r="F203" s="15"/>
      <c r="G203" s="15"/>
      <c r="H203" s="17"/>
      <c r="I203" s="79"/>
    </row>
    <row r="204" spans="1:9" s="2" customFormat="1" ht="38.25" x14ac:dyDescent="0.25">
      <c r="A204" s="44">
        <f t="shared" si="11"/>
        <v>3</v>
      </c>
      <c r="B204" s="57" t="s">
        <v>117</v>
      </c>
      <c r="C204" s="35" t="s">
        <v>4</v>
      </c>
      <c r="D204" s="131">
        <f>(6.2+4.8+0.2)*8.98-3*0.6*0.6</f>
        <v>99.495999999999995</v>
      </c>
      <c r="E204" s="19" t="s">
        <v>28</v>
      </c>
      <c r="F204" s="20" t="s">
        <v>101</v>
      </c>
      <c r="G204" s="17" t="s">
        <v>93</v>
      </c>
      <c r="H204" s="67"/>
      <c r="I204" s="79">
        <f>D204*0.03</f>
        <v>2.9848799999999995</v>
      </c>
    </row>
    <row r="205" spans="1:9" s="2" customFormat="1" ht="38.25" x14ac:dyDescent="0.25">
      <c r="A205" s="76">
        <v>4</v>
      </c>
      <c r="B205" s="81" t="s">
        <v>121</v>
      </c>
      <c r="C205" s="83" t="s">
        <v>4</v>
      </c>
      <c r="D205" s="131">
        <f>(6.2+4.8+0.2)*8.98-3*0.6*0.6</f>
        <v>99.495999999999995</v>
      </c>
      <c r="E205" s="19" t="s">
        <v>37</v>
      </c>
      <c r="F205" s="20" t="s">
        <v>104</v>
      </c>
      <c r="G205" s="17" t="s">
        <v>11</v>
      </c>
      <c r="H205" s="17" t="s">
        <v>105</v>
      </c>
      <c r="I205" s="149">
        <f>(D205*1.6*5)/20</f>
        <v>39.798400000000001</v>
      </c>
    </row>
    <row r="206" spans="1:9" s="2" customFormat="1" x14ac:dyDescent="0.25">
      <c r="A206" s="76">
        <v>5</v>
      </c>
      <c r="B206" s="81" t="s">
        <v>92</v>
      </c>
      <c r="C206" s="83" t="s">
        <v>4</v>
      </c>
      <c r="D206" s="131">
        <f>(6.2+4.8+0.2)*8.98-3*0.6*0.6</f>
        <v>99.495999999999995</v>
      </c>
      <c r="E206" s="19" t="s">
        <v>29</v>
      </c>
      <c r="F206" s="20" t="s">
        <v>102</v>
      </c>
      <c r="G206" s="17" t="s">
        <v>59</v>
      </c>
      <c r="H206" s="17" t="s">
        <v>106</v>
      </c>
      <c r="I206" s="149">
        <f>D206*0.15</f>
        <v>14.924399999999999</v>
      </c>
    </row>
    <row r="207" spans="1:9" s="2" customFormat="1" x14ac:dyDescent="0.25">
      <c r="A207" s="11">
        <f t="shared" si="11"/>
        <v>6</v>
      </c>
      <c r="B207" s="106" t="s">
        <v>113</v>
      </c>
      <c r="C207" s="83" t="s">
        <v>10</v>
      </c>
      <c r="D207" s="131">
        <f>8.98*(11.2/1.5)+11.2*(8.98/1.5)</f>
        <v>134.10133333333334</v>
      </c>
      <c r="E207" s="19" t="s">
        <v>32</v>
      </c>
      <c r="F207" s="20" t="s">
        <v>103</v>
      </c>
      <c r="G207" s="17" t="s">
        <v>10</v>
      </c>
      <c r="H207" s="21"/>
      <c r="I207" s="149">
        <f>D207</f>
        <v>134.10133333333334</v>
      </c>
    </row>
    <row r="208" spans="1:9" s="2" customFormat="1" ht="25.5" x14ac:dyDescent="0.25">
      <c r="A208" s="11">
        <f t="shared" si="11"/>
        <v>7</v>
      </c>
      <c r="B208" s="22" t="s">
        <v>122</v>
      </c>
      <c r="C208" s="23" t="s">
        <v>4</v>
      </c>
      <c r="D208" s="131">
        <f>(6.2+4.8+0.2)*8.98-3*0.6*0.6</f>
        <v>99.495999999999995</v>
      </c>
      <c r="E208" s="24" t="s">
        <v>46</v>
      </c>
      <c r="F208" s="20" t="s">
        <v>123</v>
      </c>
      <c r="G208" s="17" t="s">
        <v>4</v>
      </c>
      <c r="H208" s="21"/>
      <c r="I208" s="149">
        <f>D208*1.1</f>
        <v>109.4456</v>
      </c>
    </row>
    <row r="209" spans="1:9" x14ac:dyDescent="0.25">
      <c r="A209" s="12"/>
      <c r="B209" s="25"/>
      <c r="C209" s="26"/>
      <c r="D209" s="132"/>
      <c r="E209" s="24" t="s">
        <v>47</v>
      </c>
      <c r="F209" s="20" t="s">
        <v>107</v>
      </c>
      <c r="G209" s="17" t="s">
        <v>59</v>
      </c>
      <c r="H209" s="21" t="s">
        <v>108</v>
      </c>
      <c r="I209" s="149">
        <f>D208*0.25</f>
        <v>24.873999999999999</v>
      </c>
    </row>
    <row r="210" spans="1:9" x14ac:dyDescent="0.25">
      <c r="A210" s="80"/>
      <c r="B210" s="25"/>
      <c r="C210" s="27"/>
      <c r="D210" s="133"/>
      <c r="E210" s="24" t="s">
        <v>48</v>
      </c>
      <c r="F210" s="20" t="s">
        <v>66</v>
      </c>
      <c r="G210" s="17" t="s">
        <v>10</v>
      </c>
      <c r="H210" s="15"/>
      <c r="I210" s="149">
        <f>13.4*2</f>
        <v>26.8</v>
      </c>
    </row>
    <row r="211" spans="1:9" s="2" customFormat="1" ht="25.5" x14ac:dyDescent="0.25">
      <c r="A211" s="123">
        <f>A208+1</f>
        <v>8</v>
      </c>
      <c r="B211" s="106" t="s">
        <v>8</v>
      </c>
      <c r="C211" s="29" t="s">
        <v>10</v>
      </c>
      <c r="D211" s="132">
        <f>(8.98+11.2)*2-1.4-0.85+ 2*3+8*0.7</f>
        <v>49.71</v>
      </c>
      <c r="E211" s="30" t="s">
        <v>44</v>
      </c>
      <c r="F211" s="20" t="s">
        <v>31</v>
      </c>
      <c r="G211" s="17" t="s">
        <v>10</v>
      </c>
      <c r="H211" s="20" t="s">
        <v>69</v>
      </c>
      <c r="I211" s="149">
        <f>D211*1.05</f>
        <v>52.195500000000003</v>
      </c>
    </row>
    <row r="212" spans="1:9" ht="25.5" x14ac:dyDescent="0.25">
      <c r="A212" s="123"/>
      <c r="B212" s="107"/>
      <c r="C212" s="29"/>
      <c r="D212" s="132"/>
      <c r="E212" s="30" t="s">
        <v>115</v>
      </c>
      <c r="F212" s="20" t="s">
        <v>34</v>
      </c>
      <c r="G212" s="17" t="s">
        <v>11</v>
      </c>
      <c r="H212" s="20" t="s">
        <v>35</v>
      </c>
      <c r="I212" s="149">
        <f>(I211-5.085*1.5)*3*1.15</f>
        <v>153.75960000000001</v>
      </c>
    </row>
    <row r="213" spans="1:9" s="2" customFormat="1" ht="25.5" x14ac:dyDescent="0.25">
      <c r="A213" s="124"/>
      <c r="B213" s="31"/>
      <c r="C213" s="32"/>
      <c r="D213" s="133"/>
      <c r="E213" s="30" t="s">
        <v>116</v>
      </c>
      <c r="F213" s="20" t="s">
        <v>118</v>
      </c>
      <c r="G213" s="17" t="s">
        <v>11</v>
      </c>
      <c r="H213" s="20" t="s">
        <v>36</v>
      </c>
      <c r="I213" s="149">
        <f>5.085*3*1.5</f>
        <v>22.8825</v>
      </c>
    </row>
    <row r="214" spans="1:9" s="2" customFormat="1" x14ac:dyDescent="0.25">
      <c r="A214" s="172" t="s">
        <v>17</v>
      </c>
      <c r="B214" s="172"/>
      <c r="C214" s="172"/>
      <c r="D214" s="172"/>
      <c r="E214" s="172"/>
      <c r="F214" s="172"/>
      <c r="G214" s="172"/>
      <c r="H214" s="172"/>
      <c r="I214" s="172"/>
    </row>
    <row r="215" spans="1:9" s="2" customFormat="1" x14ac:dyDescent="0.25">
      <c r="A215" s="121">
        <v>1</v>
      </c>
      <c r="B215" s="57" t="s">
        <v>12</v>
      </c>
      <c r="C215" s="58" t="s">
        <v>4</v>
      </c>
      <c r="D215" s="131">
        <f>(6.2+4.8+0.2)*8.98-3*0.6*0.6</f>
        <v>99.495999999999995</v>
      </c>
      <c r="E215" s="42"/>
      <c r="F215" s="34"/>
      <c r="G215" s="34"/>
      <c r="H215" s="34"/>
      <c r="I215" s="149"/>
    </row>
    <row r="216" spans="1:9" s="2" customFormat="1" x14ac:dyDescent="0.25">
      <c r="A216" s="121">
        <f t="shared" ref="A216:A221" si="12">A215+1</f>
        <v>2</v>
      </c>
      <c r="B216" s="57" t="s">
        <v>74</v>
      </c>
      <c r="C216" s="58" t="s">
        <v>4</v>
      </c>
      <c r="D216" s="113">
        <f>D215/2</f>
        <v>49.747999999999998</v>
      </c>
      <c r="E216" s="54"/>
      <c r="F216" s="34"/>
      <c r="G216" s="34"/>
      <c r="H216" s="34"/>
      <c r="I216" s="149"/>
    </row>
    <row r="217" spans="1:9" s="2" customFormat="1" x14ac:dyDescent="0.25">
      <c r="A217" s="121">
        <f t="shared" si="12"/>
        <v>3</v>
      </c>
      <c r="B217" s="57" t="s">
        <v>75</v>
      </c>
      <c r="C217" s="58" t="s">
        <v>4</v>
      </c>
      <c r="D217" s="113">
        <f>D215/2</f>
        <v>49.747999999999998</v>
      </c>
      <c r="E217" s="54" t="s">
        <v>28</v>
      </c>
      <c r="F217" s="37" t="s">
        <v>43</v>
      </c>
      <c r="G217" s="38" t="s">
        <v>11</v>
      </c>
      <c r="H217" s="37" t="s">
        <v>61</v>
      </c>
      <c r="I217" s="149">
        <f>(D217*1*0.14)/10</f>
        <v>0.69647200000000009</v>
      </c>
    </row>
    <row r="218" spans="1:9" s="2" customFormat="1" x14ac:dyDescent="0.25">
      <c r="A218" s="121">
        <f t="shared" si="12"/>
        <v>4</v>
      </c>
      <c r="B218" s="57" t="s">
        <v>78</v>
      </c>
      <c r="C218" s="58" t="s">
        <v>4</v>
      </c>
      <c r="D218" s="113">
        <f>D215/2</f>
        <v>49.747999999999998</v>
      </c>
      <c r="E218" s="54" t="s">
        <v>37</v>
      </c>
      <c r="F218" s="37" t="s">
        <v>52</v>
      </c>
      <c r="G218" s="38" t="s">
        <v>11</v>
      </c>
      <c r="H218" s="37" t="s">
        <v>51</v>
      </c>
      <c r="I218" s="149">
        <f>(D218*0.48*2)/18</f>
        <v>2.6532266666666664</v>
      </c>
    </row>
    <row r="219" spans="1:9" s="2" customFormat="1" x14ac:dyDescent="0.25">
      <c r="A219" s="121">
        <f t="shared" si="12"/>
        <v>5</v>
      </c>
      <c r="B219" s="57" t="s">
        <v>76</v>
      </c>
      <c r="C219" s="58" t="s">
        <v>4</v>
      </c>
      <c r="D219" s="113">
        <f>D215*1.5</f>
        <v>149.244</v>
      </c>
      <c r="E219" s="54" t="s">
        <v>29</v>
      </c>
      <c r="F219" s="37" t="s">
        <v>43</v>
      </c>
      <c r="G219" s="38" t="s">
        <v>11</v>
      </c>
      <c r="H219" s="37" t="s">
        <v>61</v>
      </c>
      <c r="I219" s="149">
        <f>(D219*1*0.14)/10</f>
        <v>2.0894160000000004</v>
      </c>
    </row>
    <row r="220" spans="1:9" s="2" customFormat="1" x14ac:dyDescent="0.25">
      <c r="A220" s="121">
        <f t="shared" si="12"/>
        <v>6</v>
      </c>
      <c r="B220" s="57" t="s">
        <v>77</v>
      </c>
      <c r="C220" s="58" t="s">
        <v>4</v>
      </c>
      <c r="D220" s="113">
        <f>D215*1.5</f>
        <v>149.244</v>
      </c>
      <c r="E220" s="54" t="s">
        <v>32</v>
      </c>
      <c r="F220" s="59" t="s">
        <v>49</v>
      </c>
      <c r="G220" s="60" t="s">
        <v>11</v>
      </c>
      <c r="H220" s="37" t="s">
        <v>50</v>
      </c>
      <c r="I220" s="149">
        <f>(D220*0.15)/14.5</f>
        <v>1.543903448275862</v>
      </c>
    </row>
    <row r="221" spans="1:9" s="2" customFormat="1" ht="38.25" x14ac:dyDescent="0.25">
      <c r="A221" s="121">
        <f t="shared" si="12"/>
        <v>7</v>
      </c>
      <c r="B221" s="57" t="s">
        <v>9</v>
      </c>
      <c r="C221" s="58" t="s">
        <v>4</v>
      </c>
      <c r="D221" s="131">
        <f>(6.2+4.8+0.2)*8.98-3*0.6*0.6</f>
        <v>99.495999999999995</v>
      </c>
      <c r="E221" s="54" t="s">
        <v>46</v>
      </c>
      <c r="F221" s="61" t="s">
        <v>158</v>
      </c>
      <c r="G221" s="34" t="s">
        <v>4</v>
      </c>
      <c r="H221" s="34"/>
      <c r="I221" s="149">
        <f>D221</f>
        <v>99.495999999999995</v>
      </c>
    </row>
    <row r="222" spans="1:9" s="2" customFormat="1" x14ac:dyDescent="0.25">
      <c r="A222" s="60"/>
      <c r="B222" s="62"/>
      <c r="C222" s="63"/>
      <c r="D222" s="110"/>
      <c r="E222" s="54" t="s">
        <v>47</v>
      </c>
      <c r="F222" s="41" t="s">
        <v>71</v>
      </c>
      <c r="G222" s="34" t="s">
        <v>11</v>
      </c>
      <c r="H222" s="34"/>
      <c r="I222" s="149">
        <v>2</v>
      </c>
    </row>
    <row r="223" spans="1:9" s="2" customFormat="1" x14ac:dyDescent="0.25">
      <c r="A223" s="172" t="s">
        <v>72</v>
      </c>
      <c r="B223" s="172"/>
      <c r="C223" s="172"/>
      <c r="D223" s="172"/>
      <c r="E223" s="172"/>
      <c r="F223" s="172"/>
      <c r="G223" s="172"/>
      <c r="H223" s="172"/>
      <c r="I223" s="172"/>
    </row>
    <row r="224" spans="1:9" s="2" customFormat="1" x14ac:dyDescent="0.25">
      <c r="A224" s="76">
        <v>1</v>
      </c>
      <c r="B224" s="81" t="s">
        <v>73</v>
      </c>
      <c r="C224" s="44" t="s">
        <v>4</v>
      </c>
      <c r="D224" s="138">
        <f>3*5*2</f>
        <v>30</v>
      </c>
      <c r="E224" s="52"/>
      <c r="F224" s="53"/>
      <c r="G224" s="53"/>
      <c r="H224" s="53"/>
      <c r="I224" s="149"/>
    </row>
    <row r="225" spans="1:9" s="2" customFormat="1" ht="76.5" x14ac:dyDescent="0.25">
      <c r="A225" s="76">
        <v>2</v>
      </c>
      <c r="B225" s="81" t="s">
        <v>79</v>
      </c>
      <c r="C225" s="44" t="s">
        <v>4</v>
      </c>
      <c r="D225" s="138">
        <f>3*5*2</f>
        <v>30</v>
      </c>
      <c r="E225" s="54" t="s">
        <v>53</v>
      </c>
      <c r="F225" s="51" t="s">
        <v>120</v>
      </c>
      <c r="G225" s="44" t="s">
        <v>4</v>
      </c>
      <c r="H225" s="53"/>
      <c r="I225" s="149">
        <f>D225</f>
        <v>30</v>
      </c>
    </row>
    <row r="226" spans="1:9" s="2" customFormat="1" ht="25.5" x14ac:dyDescent="0.25">
      <c r="A226" s="76">
        <v>3</v>
      </c>
      <c r="B226" s="55" t="s">
        <v>96</v>
      </c>
      <c r="C226" s="44" t="s">
        <v>4</v>
      </c>
      <c r="D226" s="138">
        <f>1.8*5*2</f>
        <v>18</v>
      </c>
      <c r="E226" s="54" t="s">
        <v>28</v>
      </c>
      <c r="F226" s="51" t="s">
        <v>97</v>
      </c>
      <c r="G226" s="44" t="s">
        <v>4</v>
      </c>
      <c r="H226" s="53"/>
      <c r="I226" s="149">
        <f>D226</f>
        <v>18</v>
      </c>
    </row>
    <row r="227" spans="1:9" s="2" customFormat="1" x14ac:dyDescent="0.25">
      <c r="A227" s="172" t="s">
        <v>100</v>
      </c>
      <c r="B227" s="172"/>
      <c r="C227" s="172"/>
      <c r="D227" s="172"/>
      <c r="E227" s="172"/>
      <c r="F227" s="172"/>
      <c r="G227" s="172"/>
      <c r="H227" s="172"/>
      <c r="I227" s="172"/>
    </row>
    <row r="228" spans="1:9" s="2" customFormat="1" x14ac:dyDescent="0.25">
      <c r="A228" s="76">
        <v>1</v>
      </c>
      <c r="B228" s="55" t="s">
        <v>205</v>
      </c>
      <c r="C228" s="44" t="s">
        <v>4</v>
      </c>
      <c r="D228" s="138">
        <f>2.1*0.8</f>
        <v>1.6800000000000002</v>
      </c>
      <c r="E228" s="42"/>
      <c r="F228" s="51"/>
      <c r="G228" s="44"/>
      <c r="H228" s="53"/>
      <c r="I228" s="144"/>
    </row>
    <row r="229" spans="1:9" s="2" customFormat="1" ht="51" x14ac:dyDescent="0.25">
      <c r="A229" s="76">
        <v>2</v>
      </c>
      <c r="B229" s="55" t="s">
        <v>204</v>
      </c>
      <c r="C229" s="44" t="s">
        <v>4</v>
      </c>
      <c r="D229" s="138">
        <f>2.1*0.8</f>
        <v>1.6800000000000002</v>
      </c>
      <c r="E229" s="42" t="s">
        <v>53</v>
      </c>
      <c r="F229" s="77" t="s">
        <v>203</v>
      </c>
      <c r="G229" s="44" t="s">
        <v>11</v>
      </c>
      <c r="H229" s="53"/>
      <c r="I229" s="149">
        <v>1</v>
      </c>
    </row>
    <row r="230" spans="1:9" s="2" customFormat="1" x14ac:dyDescent="0.25">
      <c r="A230" s="172" t="s">
        <v>16</v>
      </c>
      <c r="B230" s="172"/>
      <c r="C230" s="172"/>
      <c r="D230" s="172"/>
      <c r="E230" s="172"/>
      <c r="F230" s="172"/>
      <c r="G230" s="172"/>
      <c r="H230" s="172"/>
      <c r="I230" s="172"/>
    </row>
    <row r="231" spans="1:9" s="2" customFormat="1" x14ac:dyDescent="0.25">
      <c r="A231" s="78">
        <v>1</v>
      </c>
      <c r="B231" s="81" t="s">
        <v>127</v>
      </c>
      <c r="C231" s="78" t="s">
        <v>4</v>
      </c>
      <c r="D231" s="97">
        <f>(5.516+4.952)*1*0.6</f>
        <v>6.2808000000000002</v>
      </c>
      <c r="E231" s="33"/>
      <c r="F231" s="34"/>
      <c r="G231" s="34"/>
      <c r="H231" s="34"/>
      <c r="I231" s="148"/>
    </row>
    <row r="232" spans="1:9" s="2" customFormat="1" x14ac:dyDescent="0.25">
      <c r="A232" s="78">
        <v>2</v>
      </c>
      <c r="B232" s="81" t="s">
        <v>23</v>
      </c>
      <c r="C232" s="78" t="s">
        <v>4</v>
      </c>
      <c r="D232" s="97">
        <f t="shared" ref="D232:D237" si="13">(5.516+4.952)*1*0.6</f>
        <v>6.2808000000000002</v>
      </c>
      <c r="E232" s="33" t="s">
        <v>53</v>
      </c>
      <c r="F232" s="37" t="s">
        <v>43</v>
      </c>
      <c r="G232" s="38" t="s">
        <v>11</v>
      </c>
      <c r="H232" s="37" t="s">
        <v>61</v>
      </c>
      <c r="I232" s="148">
        <f>(D232*0.14)/10</f>
        <v>8.7931200000000015E-2</v>
      </c>
    </row>
    <row r="233" spans="1:9" s="2" customFormat="1" ht="25.5" x14ac:dyDescent="0.25">
      <c r="A233" s="78">
        <v>3</v>
      </c>
      <c r="B233" s="81" t="s">
        <v>129</v>
      </c>
      <c r="C233" s="78" t="s">
        <v>4</v>
      </c>
      <c r="D233" s="97">
        <f t="shared" si="13"/>
        <v>6.2808000000000002</v>
      </c>
      <c r="E233" s="39" t="s">
        <v>28</v>
      </c>
      <c r="F233" s="40" t="s">
        <v>161</v>
      </c>
      <c r="G233" s="28" t="s">
        <v>11</v>
      </c>
      <c r="H233" s="40" t="s">
        <v>162</v>
      </c>
      <c r="I233" s="148">
        <f>(D233*1.9*5)/20</f>
        <v>2.9833799999999999</v>
      </c>
    </row>
    <row r="234" spans="1:9" s="2" customFormat="1" ht="25.5" x14ac:dyDescent="0.25">
      <c r="A234" s="78">
        <v>4</v>
      </c>
      <c r="B234" s="81" t="s">
        <v>128</v>
      </c>
      <c r="C234" s="35" t="s">
        <v>4</v>
      </c>
      <c r="D234" s="97">
        <f t="shared" si="13"/>
        <v>6.2808000000000002</v>
      </c>
      <c r="E234" s="33" t="s">
        <v>37</v>
      </c>
      <c r="F234" s="41" t="s">
        <v>130</v>
      </c>
      <c r="G234" s="34" t="s">
        <v>59</v>
      </c>
      <c r="H234" s="34" t="s">
        <v>80</v>
      </c>
      <c r="I234" s="148">
        <f>D234*25</f>
        <v>157.02000000000001</v>
      </c>
    </row>
    <row r="235" spans="1:9" s="2" customFormat="1" x14ac:dyDescent="0.25">
      <c r="A235" s="78">
        <f t="shared" ref="A235:A280" si="14">A234+1</f>
        <v>5</v>
      </c>
      <c r="B235" s="81" t="s">
        <v>23</v>
      </c>
      <c r="C235" s="35" t="s">
        <v>4</v>
      </c>
      <c r="D235" s="97">
        <f t="shared" si="13"/>
        <v>6.2808000000000002</v>
      </c>
      <c r="E235" s="33" t="s">
        <v>29</v>
      </c>
      <c r="F235" s="37" t="s">
        <v>43</v>
      </c>
      <c r="G235" s="38" t="s">
        <v>11</v>
      </c>
      <c r="H235" s="37" t="s">
        <v>61</v>
      </c>
      <c r="I235" s="148">
        <f>(D235*0.14)/10</f>
        <v>8.7931200000000015E-2</v>
      </c>
    </row>
    <row r="236" spans="1:9" s="2" customFormat="1" x14ac:dyDescent="0.25">
      <c r="A236" s="78">
        <f t="shared" si="14"/>
        <v>6</v>
      </c>
      <c r="B236" s="81" t="s">
        <v>131</v>
      </c>
      <c r="C236" s="35" t="s">
        <v>4</v>
      </c>
      <c r="D236" s="97">
        <f t="shared" si="13"/>
        <v>6.2808000000000002</v>
      </c>
      <c r="E236" s="42" t="s">
        <v>32</v>
      </c>
      <c r="F236" s="41" t="s">
        <v>52</v>
      </c>
      <c r="G236" s="34" t="s">
        <v>11</v>
      </c>
      <c r="H236" s="41" t="s">
        <v>51</v>
      </c>
      <c r="I236" s="148">
        <f>(D236*0.48)/18</f>
        <v>0.167488</v>
      </c>
    </row>
    <row r="237" spans="1:9" s="2" customFormat="1" x14ac:dyDescent="0.25">
      <c r="A237" s="78">
        <v>7</v>
      </c>
      <c r="B237" s="81" t="s">
        <v>132</v>
      </c>
      <c r="C237" s="35" t="s">
        <v>4</v>
      </c>
      <c r="D237" s="97">
        <f t="shared" si="13"/>
        <v>6.2808000000000002</v>
      </c>
      <c r="E237" s="42" t="s">
        <v>46</v>
      </c>
      <c r="F237" s="43" t="s">
        <v>49</v>
      </c>
      <c r="G237" s="44" t="s">
        <v>11</v>
      </c>
      <c r="H237" s="41" t="s">
        <v>50</v>
      </c>
      <c r="I237" s="148">
        <f>(D237*0.15)/14.5</f>
        <v>6.497379310344828E-2</v>
      </c>
    </row>
    <row r="238" spans="1:9" s="2" customFormat="1" x14ac:dyDescent="0.25">
      <c r="A238" s="83">
        <v>8</v>
      </c>
      <c r="B238" s="185" t="s">
        <v>154</v>
      </c>
      <c r="C238" s="45" t="s">
        <v>10</v>
      </c>
      <c r="D238" s="131">
        <f>1.5+2*2.121</f>
        <v>5.742</v>
      </c>
      <c r="E238" s="46" t="s">
        <v>44</v>
      </c>
      <c r="F238" s="41" t="s">
        <v>82</v>
      </c>
      <c r="G238" s="44" t="s">
        <v>11</v>
      </c>
      <c r="H238" s="41"/>
      <c r="I238" s="148">
        <f>(D238*0.15)/3.6</f>
        <v>0.23924999999999999</v>
      </c>
    </row>
    <row r="239" spans="1:9" s="2" customFormat="1" x14ac:dyDescent="0.25">
      <c r="A239" s="47"/>
      <c r="B239" s="186"/>
      <c r="C239" s="48"/>
      <c r="D239" s="134"/>
      <c r="E239" s="46" t="s">
        <v>115</v>
      </c>
      <c r="F239" s="41" t="s">
        <v>83</v>
      </c>
      <c r="G239" s="44" t="s">
        <v>11</v>
      </c>
      <c r="H239" s="41"/>
      <c r="I239" s="148">
        <v>4</v>
      </c>
    </row>
    <row r="240" spans="1:9" s="2" customFormat="1" x14ac:dyDescent="0.25">
      <c r="A240" s="47"/>
      <c r="B240" s="68"/>
      <c r="C240" s="48"/>
      <c r="D240" s="134"/>
      <c r="E240" s="46" t="s">
        <v>116</v>
      </c>
      <c r="F240" s="41" t="s">
        <v>84</v>
      </c>
      <c r="G240" s="44" t="s">
        <v>11</v>
      </c>
      <c r="H240" s="41"/>
      <c r="I240" s="148">
        <v>2</v>
      </c>
    </row>
    <row r="241" spans="1:9" s="2" customFormat="1" x14ac:dyDescent="0.25">
      <c r="A241" s="47"/>
      <c r="B241" s="68"/>
      <c r="C241" s="48"/>
      <c r="D241" s="134"/>
      <c r="E241" s="46" t="s">
        <v>163</v>
      </c>
      <c r="F241" s="41" t="s">
        <v>39</v>
      </c>
      <c r="G241" s="44" t="s">
        <v>11</v>
      </c>
      <c r="H241" s="41"/>
      <c r="I241" s="148">
        <f>I240*6</f>
        <v>12</v>
      </c>
    </row>
    <row r="242" spans="1:9" s="2" customFormat="1" x14ac:dyDescent="0.25">
      <c r="A242" s="47"/>
      <c r="B242" s="68"/>
      <c r="C242" s="48"/>
      <c r="D242" s="134"/>
      <c r="E242" s="46" t="s">
        <v>164</v>
      </c>
      <c r="F242" s="41" t="s">
        <v>40</v>
      </c>
      <c r="G242" s="44" t="s">
        <v>11</v>
      </c>
      <c r="H242" s="41"/>
      <c r="I242" s="148">
        <f>D238*13*0.4</f>
        <v>29.858400000000003</v>
      </c>
    </row>
    <row r="243" spans="1:9" s="2" customFormat="1" x14ac:dyDescent="0.25">
      <c r="A243" s="47"/>
      <c r="B243" s="68"/>
      <c r="C243" s="48"/>
      <c r="D243" s="134"/>
      <c r="E243" s="46" t="s">
        <v>165</v>
      </c>
      <c r="F243" s="41" t="s">
        <v>41</v>
      </c>
      <c r="G243" s="44" t="s">
        <v>11</v>
      </c>
      <c r="H243" s="41"/>
      <c r="I243" s="148">
        <v>12</v>
      </c>
    </row>
    <row r="244" spans="1:9" s="2" customFormat="1" x14ac:dyDescent="0.25">
      <c r="A244" s="84"/>
      <c r="B244" s="69"/>
      <c r="C244" s="48"/>
      <c r="D244" s="134"/>
      <c r="E244" s="46" t="s">
        <v>166</v>
      </c>
      <c r="F244" s="41" t="s">
        <v>42</v>
      </c>
      <c r="G244" s="44" t="s">
        <v>11</v>
      </c>
      <c r="H244" s="41"/>
      <c r="I244" s="148">
        <f>I243</f>
        <v>12</v>
      </c>
    </row>
    <row r="245" spans="1:9" s="2" customFormat="1" x14ac:dyDescent="0.25">
      <c r="A245" s="83">
        <v>9</v>
      </c>
      <c r="B245" s="178" t="s">
        <v>133</v>
      </c>
      <c r="C245" s="11" t="s">
        <v>4</v>
      </c>
      <c r="D245" s="135">
        <f>(5.516+4.944)*4.32-3*5-3*4.5-1.2*0.6*2</f>
        <v>15.247200000000005</v>
      </c>
      <c r="E245" s="42" t="s">
        <v>45</v>
      </c>
      <c r="F245" s="4" t="s">
        <v>134</v>
      </c>
      <c r="G245" s="76" t="s">
        <v>4</v>
      </c>
      <c r="H245" s="6"/>
      <c r="I245" s="148">
        <f>D245*1.1</f>
        <v>16.771920000000005</v>
      </c>
    </row>
    <row r="246" spans="1:9" s="2" customFormat="1" x14ac:dyDescent="0.25">
      <c r="A246" s="29"/>
      <c r="B246" s="179"/>
      <c r="C246" s="12"/>
      <c r="D246" s="136"/>
      <c r="E246" s="42" t="s">
        <v>110</v>
      </c>
      <c r="F246" s="81" t="s">
        <v>135</v>
      </c>
      <c r="G246" s="76" t="s">
        <v>10</v>
      </c>
      <c r="H246" s="7"/>
      <c r="I246" s="148">
        <f>(D245/10)*12</f>
        <v>18.296640000000007</v>
      </c>
    </row>
    <row r="247" spans="1:9" s="2" customFormat="1" x14ac:dyDescent="0.25">
      <c r="A247" s="29"/>
      <c r="B247" s="179"/>
      <c r="C247" s="12"/>
      <c r="D247" s="136"/>
      <c r="E247" s="42" t="s">
        <v>111</v>
      </c>
      <c r="F247" s="4" t="s">
        <v>136</v>
      </c>
      <c r="G247" s="76" t="s">
        <v>10</v>
      </c>
      <c r="H247" s="6"/>
      <c r="I247" s="148">
        <f>(D245/10)*22</f>
        <v>33.54384000000001</v>
      </c>
    </row>
    <row r="248" spans="1:9" s="2" customFormat="1" x14ac:dyDescent="0.25">
      <c r="A248" s="29"/>
      <c r="B248" s="179"/>
      <c r="C248" s="12"/>
      <c r="D248" s="136"/>
      <c r="E248" s="42" t="s">
        <v>112</v>
      </c>
      <c r="F248" s="5" t="s">
        <v>137</v>
      </c>
      <c r="G248" s="76" t="s">
        <v>10</v>
      </c>
      <c r="H248" s="7"/>
      <c r="I248" s="148">
        <f>I246</f>
        <v>18.296640000000007</v>
      </c>
    </row>
    <row r="249" spans="1:9" s="2" customFormat="1" x14ac:dyDescent="0.25">
      <c r="A249" s="29"/>
      <c r="B249" s="13"/>
      <c r="C249" s="12"/>
      <c r="D249" s="136"/>
      <c r="E249" s="42" t="s">
        <v>167</v>
      </c>
      <c r="F249" s="4" t="s">
        <v>138</v>
      </c>
      <c r="G249" s="76" t="s">
        <v>10</v>
      </c>
      <c r="H249" s="6"/>
      <c r="I249" s="148">
        <f>I247/2</f>
        <v>16.771920000000005</v>
      </c>
    </row>
    <row r="250" spans="1:9" s="2" customFormat="1" ht="15" customHeight="1" x14ac:dyDescent="0.25">
      <c r="A250" s="84"/>
      <c r="B250" s="14"/>
      <c r="C250" s="80"/>
      <c r="D250" s="137"/>
      <c r="E250" s="42" t="s">
        <v>168</v>
      </c>
      <c r="F250" s="4" t="s">
        <v>139</v>
      </c>
      <c r="G250" s="76" t="s">
        <v>11</v>
      </c>
      <c r="H250" s="6"/>
      <c r="I250" s="148">
        <f>(D245/10)*20</f>
        <v>30.494400000000009</v>
      </c>
    </row>
    <row r="251" spans="1:9" s="2" customFormat="1" ht="15" customHeight="1" x14ac:dyDescent="0.25">
      <c r="A251" s="83">
        <v>10</v>
      </c>
      <c r="B251" s="70" t="s">
        <v>140</v>
      </c>
      <c r="C251" s="12" t="s">
        <v>11</v>
      </c>
      <c r="D251" s="136">
        <v>2</v>
      </c>
      <c r="E251" s="42" t="s">
        <v>54</v>
      </c>
      <c r="F251" s="5" t="s">
        <v>95</v>
      </c>
      <c r="G251" s="76" t="s">
        <v>11</v>
      </c>
      <c r="H251" s="6"/>
      <c r="I251" s="148">
        <v>2</v>
      </c>
    </row>
    <row r="252" spans="1:9" s="2" customFormat="1" x14ac:dyDescent="0.25">
      <c r="A252" s="23">
        <v>11</v>
      </c>
      <c r="B252" s="174" t="s">
        <v>207</v>
      </c>
      <c r="C252" s="11" t="s">
        <v>4</v>
      </c>
      <c r="D252" s="135">
        <f>2.1*0.9</f>
        <v>1.8900000000000001</v>
      </c>
      <c r="E252" s="30" t="s">
        <v>169</v>
      </c>
      <c r="F252" s="4" t="s">
        <v>134</v>
      </c>
      <c r="G252" s="76" t="s">
        <v>4</v>
      </c>
      <c r="H252" s="8"/>
      <c r="I252" s="148">
        <f>D252*4*1.1</f>
        <v>8.3160000000000007</v>
      </c>
    </row>
    <row r="253" spans="1:9" s="2" customFormat="1" x14ac:dyDescent="0.25">
      <c r="A253" s="26"/>
      <c r="B253" s="175"/>
      <c r="C253" s="12"/>
      <c r="D253" s="136"/>
      <c r="E253" s="42" t="s">
        <v>170</v>
      </c>
      <c r="F253" s="4" t="s">
        <v>149</v>
      </c>
      <c r="G253" s="76" t="s">
        <v>11</v>
      </c>
      <c r="H253" s="8"/>
      <c r="I253" s="148">
        <v>2</v>
      </c>
    </row>
    <row r="254" spans="1:9" s="2" customFormat="1" x14ac:dyDescent="0.25">
      <c r="A254" s="26"/>
      <c r="B254" s="175"/>
      <c r="C254" s="12"/>
      <c r="D254" s="136"/>
      <c r="E254" s="42" t="s">
        <v>172</v>
      </c>
      <c r="F254" s="4" t="s">
        <v>150</v>
      </c>
      <c r="G254" s="76" t="s">
        <v>11</v>
      </c>
      <c r="H254" s="8"/>
      <c r="I254" s="148">
        <f>2</f>
        <v>2</v>
      </c>
    </row>
    <row r="255" spans="1:9" s="2" customFormat="1" x14ac:dyDescent="0.25">
      <c r="A255" s="26"/>
      <c r="B255" s="175"/>
      <c r="C255" s="12"/>
      <c r="D255" s="136"/>
      <c r="E255" s="42" t="s">
        <v>173</v>
      </c>
      <c r="F255" s="4" t="s">
        <v>151</v>
      </c>
      <c r="G255" s="76" t="s">
        <v>152</v>
      </c>
      <c r="H255" s="8"/>
      <c r="I255" s="148">
        <f>D252</f>
        <v>1.8900000000000001</v>
      </c>
    </row>
    <row r="256" spans="1:9" s="2" customFormat="1" x14ac:dyDescent="0.25">
      <c r="A256" s="26"/>
      <c r="B256" s="71"/>
      <c r="C256" s="47"/>
      <c r="D256" s="132"/>
      <c r="E256" s="42" t="s">
        <v>174</v>
      </c>
      <c r="F256" s="5" t="s">
        <v>137</v>
      </c>
      <c r="G256" s="76" t="s">
        <v>10</v>
      </c>
      <c r="H256" s="9"/>
      <c r="I256" s="149">
        <f>I253*3</f>
        <v>6</v>
      </c>
    </row>
    <row r="257" spans="1:9" s="2" customFormat="1" x14ac:dyDescent="0.25">
      <c r="A257" s="26"/>
      <c r="B257" s="72"/>
      <c r="C257" s="12"/>
      <c r="D257" s="136"/>
      <c r="E257" s="42" t="s">
        <v>171</v>
      </c>
      <c r="F257" s="4" t="s">
        <v>138</v>
      </c>
      <c r="G257" s="76" t="s">
        <v>10</v>
      </c>
      <c r="H257" s="8"/>
      <c r="I257" s="148">
        <f>((D252*2)/3)/1.2*3</f>
        <v>3.1500000000000004</v>
      </c>
    </row>
    <row r="258" spans="1:9" s="2" customFormat="1" x14ac:dyDescent="0.25">
      <c r="A258" s="83">
        <v>12</v>
      </c>
      <c r="B258" s="176" t="s">
        <v>183</v>
      </c>
      <c r="C258" s="11" t="s">
        <v>4</v>
      </c>
      <c r="D258" s="135">
        <f>12*3.7*0.7</f>
        <v>31.080000000000002</v>
      </c>
      <c r="E258" s="42" t="s">
        <v>56</v>
      </c>
      <c r="F258" s="4" t="s">
        <v>134</v>
      </c>
      <c r="G258" s="76" t="s">
        <v>4</v>
      </c>
      <c r="H258" s="6"/>
      <c r="I258" s="148">
        <f>D258*1.1</f>
        <v>34.188000000000002</v>
      </c>
    </row>
    <row r="259" spans="1:9" s="2" customFormat="1" x14ac:dyDescent="0.25">
      <c r="A259" s="47"/>
      <c r="B259" s="177"/>
      <c r="C259" s="12"/>
      <c r="D259" s="136"/>
      <c r="E259" s="42" t="s">
        <v>189</v>
      </c>
      <c r="F259" s="81" t="s">
        <v>184</v>
      </c>
      <c r="G259" s="76" t="s">
        <v>10</v>
      </c>
      <c r="H259" s="7"/>
      <c r="I259" s="148">
        <f>0.7*11*2+6*3.7</f>
        <v>37.6</v>
      </c>
    </row>
    <row r="260" spans="1:9" s="2" customFormat="1" x14ac:dyDescent="0.25">
      <c r="A260" s="47"/>
      <c r="B260" s="177"/>
      <c r="C260" s="12"/>
      <c r="D260" s="136"/>
      <c r="E260" s="42" t="s">
        <v>190</v>
      </c>
      <c r="F260" s="4" t="s">
        <v>185</v>
      </c>
      <c r="G260" s="76" t="s">
        <v>10</v>
      </c>
      <c r="H260" s="6"/>
      <c r="I260" s="148">
        <f>16*3.7</f>
        <v>59.2</v>
      </c>
    </row>
    <row r="261" spans="1:9" s="2" customFormat="1" x14ac:dyDescent="0.25">
      <c r="A261" s="47"/>
      <c r="B261" s="177"/>
      <c r="C261" s="12"/>
      <c r="D261" s="136"/>
      <c r="E261" s="42" t="s">
        <v>191</v>
      </c>
      <c r="F261" s="5" t="s">
        <v>137</v>
      </c>
      <c r="G261" s="76" t="s">
        <v>10</v>
      </c>
      <c r="H261" s="7"/>
      <c r="I261" s="148">
        <f>I259</f>
        <v>37.6</v>
      </c>
    </row>
    <row r="262" spans="1:9" s="2" customFormat="1" x14ac:dyDescent="0.25">
      <c r="A262" s="47"/>
      <c r="B262" s="13"/>
      <c r="C262" s="12"/>
      <c r="D262" s="136"/>
      <c r="E262" s="42" t="s">
        <v>192</v>
      </c>
      <c r="F262" s="4" t="s">
        <v>138</v>
      </c>
      <c r="G262" s="76" t="s">
        <v>10</v>
      </c>
      <c r="H262" s="6"/>
      <c r="I262" s="148">
        <f>I260/2</f>
        <v>29.6</v>
      </c>
    </row>
    <row r="263" spans="1:9" s="2" customFormat="1" x14ac:dyDescent="0.25">
      <c r="A263" s="84"/>
      <c r="B263" s="14"/>
      <c r="C263" s="80"/>
      <c r="D263" s="137"/>
      <c r="E263" s="42" t="s">
        <v>193</v>
      </c>
      <c r="F263" s="4" t="s">
        <v>139</v>
      </c>
      <c r="G263" s="76" t="s">
        <v>11</v>
      </c>
      <c r="H263" s="6"/>
      <c r="I263" s="148">
        <f>(D258/10)*20</f>
        <v>62.160000000000004</v>
      </c>
    </row>
    <row r="264" spans="1:9" s="2" customFormat="1" ht="26.25" x14ac:dyDescent="0.25">
      <c r="A264" s="47">
        <v>13</v>
      </c>
      <c r="B264" s="14" t="s">
        <v>188</v>
      </c>
      <c r="C264" s="80" t="s">
        <v>4</v>
      </c>
      <c r="D264" s="137">
        <f>4.8*4-1.4*2.1</f>
        <v>16.259999999999998</v>
      </c>
      <c r="E264" s="42"/>
      <c r="F264" s="4"/>
      <c r="G264" s="76"/>
      <c r="H264" s="6"/>
      <c r="I264" s="148"/>
    </row>
    <row r="265" spans="1:9" s="2" customFormat="1" x14ac:dyDescent="0.25">
      <c r="A265" s="83">
        <v>14</v>
      </c>
      <c r="B265" s="176" t="s">
        <v>206</v>
      </c>
      <c r="C265" s="11" t="s">
        <v>4</v>
      </c>
      <c r="D265" s="135">
        <f>5*4.32-1.4*2.1</f>
        <v>18.66</v>
      </c>
      <c r="E265" s="42" t="s">
        <v>98</v>
      </c>
      <c r="F265" s="4" t="s">
        <v>134</v>
      </c>
      <c r="G265" s="76" t="s">
        <v>4</v>
      </c>
      <c r="H265" s="6"/>
      <c r="I265" s="148">
        <f>D265*1.1</f>
        <v>20.526000000000003</v>
      </c>
    </row>
    <row r="266" spans="1:9" s="2" customFormat="1" x14ac:dyDescent="0.25">
      <c r="A266" s="47"/>
      <c r="B266" s="177"/>
      <c r="C266" s="12"/>
      <c r="D266" s="136"/>
      <c r="E266" s="42" t="s">
        <v>194</v>
      </c>
      <c r="F266" s="81" t="s">
        <v>184</v>
      </c>
      <c r="G266" s="76" t="s">
        <v>10</v>
      </c>
      <c r="H266" s="7"/>
      <c r="I266" s="148">
        <f>5*2+4.32+3</f>
        <v>17.32</v>
      </c>
    </row>
    <row r="267" spans="1:9" s="2" customFormat="1" x14ac:dyDescent="0.25">
      <c r="A267" s="47"/>
      <c r="B267" s="177"/>
      <c r="C267" s="12"/>
      <c r="D267" s="136"/>
      <c r="E267" s="42" t="s">
        <v>195</v>
      </c>
      <c r="F267" s="4" t="s">
        <v>185</v>
      </c>
      <c r="G267" s="76" t="s">
        <v>10</v>
      </c>
      <c r="H267" s="6"/>
      <c r="I267" s="148">
        <f>(5/0.4)*4.32+3</f>
        <v>57</v>
      </c>
    </row>
    <row r="268" spans="1:9" s="2" customFormat="1" x14ac:dyDescent="0.25">
      <c r="A268" s="47"/>
      <c r="B268" s="177"/>
      <c r="C268" s="12"/>
      <c r="D268" s="136"/>
      <c r="E268" s="42" t="s">
        <v>196</v>
      </c>
      <c r="F268" s="5" t="s">
        <v>137</v>
      </c>
      <c r="G268" s="76" t="s">
        <v>10</v>
      </c>
      <c r="H268" s="7"/>
      <c r="I268" s="148">
        <f>I266</f>
        <v>17.32</v>
      </c>
    </row>
    <row r="269" spans="1:9" s="2" customFormat="1" x14ac:dyDescent="0.25">
      <c r="A269" s="47"/>
      <c r="B269" s="13"/>
      <c r="C269" s="12"/>
      <c r="D269" s="136"/>
      <c r="E269" s="42" t="s">
        <v>197</v>
      </c>
      <c r="F269" s="4" t="s">
        <v>138</v>
      </c>
      <c r="G269" s="76" t="s">
        <v>10</v>
      </c>
      <c r="H269" s="6"/>
      <c r="I269" s="148">
        <f>I267/2</f>
        <v>28.5</v>
      </c>
    </row>
    <row r="270" spans="1:9" s="2" customFormat="1" x14ac:dyDescent="0.25">
      <c r="A270" s="84"/>
      <c r="B270" s="14"/>
      <c r="C270" s="80"/>
      <c r="D270" s="137"/>
      <c r="E270" s="42" t="s">
        <v>198</v>
      </c>
      <c r="F270" s="4" t="s">
        <v>139</v>
      </c>
      <c r="G270" s="76" t="s">
        <v>11</v>
      </c>
      <c r="H270" s="6"/>
      <c r="I270" s="148">
        <f>(D265/10)*20</f>
        <v>37.32</v>
      </c>
    </row>
    <row r="271" spans="1:9" s="2" customFormat="1" x14ac:dyDescent="0.25">
      <c r="A271" s="84">
        <v>15</v>
      </c>
      <c r="B271" s="82" t="s">
        <v>141</v>
      </c>
      <c r="C271" s="76" t="s">
        <v>4</v>
      </c>
      <c r="D271" s="108">
        <f>D265+D258+D252*2+D245</f>
        <v>68.767200000000003</v>
      </c>
      <c r="E271" s="42" t="s">
        <v>109</v>
      </c>
      <c r="F271" s="75" t="s">
        <v>142</v>
      </c>
      <c r="G271" s="78" t="s">
        <v>11</v>
      </c>
      <c r="H271" s="79"/>
      <c r="I271" s="79">
        <f>(D271*3*0.14)/10</f>
        <v>2.8882224000000005</v>
      </c>
    </row>
    <row r="272" spans="1:9" s="2" customFormat="1" x14ac:dyDescent="0.25">
      <c r="A272" s="78">
        <v>16</v>
      </c>
      <c r="B272" s="82" t="s">
        <v>143</v>
      </c>
      <c r="C272" s="76" t="s">
        <v>4</v>
      </c>
      <c r="D272" s="108">
        <f>D271</f>
        <v>68.767200000000003</v>
      </c>
      <c r="E272" s="42" t="s">
        <v>99</v>
      </c>
      <c r="F272" s="77" t="s">
        <v>144</v>
      </c>
      <c r="G272" s="78" t="s">
        <v>11</v>
      </c>
      <c r="H272" s="79"/>
      <c r="I272" s="79">
        <f>(D272/9)*(2/3)</f>
        <v>5.093866666666667</v>
      </c>
    </row>
    <row r="273" spans="1:9" s="2" customFormat="1" x14ac:dyDescent="0.25">
      <c r="A273" s="78">
        <v>17</v>
      </c>
      <c r="B273" s="77" t="s">
        <v>145</v>
      </c>
      <c r="C273" s="78" t="s">
        <v>4</v>
      </c>
      <c r="D273" s="108">
        <f>D265+D252*2+D245+0.7*4*2</f>
        <v>43.287200000000006</v>
      </c>
      <c r="E273" s="42" t="s">
        <v>175</v>
      </c>
      <c r="F273" s="77" t="s">
        <v>146</v>
      </c>
      <c r="G273" s="78" t="s">
        <v>4</v>
      </c>
      <c r="H273" s="79"/>
      <c r="I273" s="79">
        <f>D273*1.1</f>
        <v>47.61592000000001</v>
      </c>
    </row>
    <row r="274" spans="1:9" s="2" customFormat="1" x14ac:dyDescent="0.25">
      <c r="A274" s="78">
        <v>18</v>
      </c>
      <c r="B274" s="82" t="s">
        <v>65</v>
      </c>
      <c r="C274" s="76" t="s">
        <v>4</v>
      </c>
      <c r="D274" s="108">
        <f>D271</f>
        <v>68.767200000000003</v>
      </c>
      <c r="E274" s="42"/>
      <c r="F274" s="43"/>
      <c r="G274" s="44"/>
      <c r="H274" s="41"/>
      <c r="I274" s="144"/>
    </row>
    <row r="275" spans="1:9" s="2" customFormat="1" ht="38.25" x14ac:dyDescent="0.25">
      <c r="A275" s="78">
        <v>19</v>
      </c>
      <c r="B275" s="82" t="s">
        <v>147</v>
      </c>
      <c r="C275" s="76" t="s">
        <v>4</v>
      </c>
      <c r="D275" s="108">
        <f>D271</f>
        <v>68.767200000000003</v>
      </c>
      <c r="E275" s="42" t="s">
        <v>199</v>
      </c>
      <c r="F275" s="75" t="s">
        <v>148</v>
      </c>
      <c r="G275" s="78" t="s">
        <v>11</v>
      </c>
      <c r="H275" s="79"/>
      <c r="I275" s="79">
        <f>(D275*2)/93</f>
        <v>1.4788645161290324</v>
      </c>
    </row>
    <row r="276" spans="1:9" s="2" customFormat="1" x14ac:dyDescent="0.25">
      <c r="A276" s="78">
        <v>20</v>
      </c>
      <c r="B276" s="82" t="s">
        <v>159</v>
      </c>
      <c r="C276" s="76" t="s">
        <v>10</v>
      </c>
      <c r="D276" s="108">
        <f>1.5+2*2.121+9*3.7</f>
        <v>39.042000000000002</v>
      </c>
      <c r="E276" s="30" t="s">
        <v>177</v>
      </c>
      <c r="F276" s="77" t="s">
        <v>160</v>
      </c>
      <c r="G276" s="78" t="s">
        <v>11</v>
      </c>
      <c r="H276" s="10"/>
      <c r="I276" s="79">
        <f>(D276/3)*1.1</f>
        <v>14.315400000000002</v>
      </c>
    </row>
    <row r="277" spans="1:9" s="2" customFormat="1" x14ac:dyDescent="0.25">
      <c r="A277" s="78">
        <v>21</v>
      </c>
      <c r="B277" s="81" t="s">
        <v>5</v>
      </c>
      <c r="C277" s="35" t="s">
        <v>10</v>
      </c>
      <c r="D277" s="131">
        <f t="shared" ref="D277:D280" si="15">1.5+2*2.121</f>
        <v>5.742</v>
      </c>
      <c r="E277" s="42" t="s">
        <v>178</v>
      </c>
      <c r="F277" s="41" t="s">
        <v>43</v>
      </c>
      <c r="G277" s="34" t="s">
        <v>11</v>
      </c>
      <c r="H277" s="41" t="s">
        <v>61</v>
      </c>
      <c r="I277" s="79">
        <f>(D277*2*0.14*0.4)/10</f>
        <v>6.4310400000000018E-2</v>
      </c>
    </row>
    <row r="278" spans="1:9" s="2" customFormat="1" x14ac:dyDescent="0.25">
      <c r="A278" s="78">
        <f t="shared" si="14"/>
        <v>22</v>
      </c>
      <c r="B278" s="81" t="s">
        <v>22</v>
      </c>
      <c r="C278" s="35" t="s">
        <v>10</v>
      </c>
      <c r="D278" s="131">
        <f t="shared" si="15"/>
        <v>5.742</v>
      </c>
      <c r="E278" s="42" t="s">
        <v>179</v>
      </c>
      <c r="F278" s="41" t="s">
        <v>52</v>
      </c>
      <c r="G278" s="34" t="s">
        <v>11</v>
      </c>
      <c r="H278" s="41" t="s">
        <v>51</v>
      </c>
      <c r="I278" s="79">
        <f>(D278*0.48*2*0.4)/18</f>
        <v>0.12249600000000001</v>
      </c>
    </row>
    <row r="279" spans="1:9" s="2" customFormat="1" x14ac:dyDescent="0.25">
      <c r="A279" s="78">
        <f t="shared" si="14"/>
        <v>23</v>
      </c>
      <c r="B279" s="81" t="s">
        <v>65</v>
      </c>
      <c r="C279" s="35" t="s">
        <v>10</v>
      </c>
      <c r="D279" s="131">
        <f t="shared" si="15"/>
        <v>5.742</v>
      </c>
      <c r="E279" s="42"/>
      <c r="F279" s="41"/>
      <c r="G279" s="34"/>
      <c r="H279" s="41"/>
      <c r="I279" s="79"/>
    </row>
    <row r="280" spans="1:9" s="2" customFormat="1" x14ac:dyDescent="0.25">
      <c r="A280" s="78">
        <f t="shared" si="14"/>
        <v>24</v>
      </c>
      <c r="B280" s="81" t="s">
        <v>6</v>
      </c>
      <c r="C280" s="35" t="s">
        <v>10</v>
      </c>
      <c r="D280" s="131">
        <f t="shared" si="15"/>
        <v>5.742</v>
      </c>
      <c r="E280" s="42" t="s">
        <v>200</v>
      </c>
      <c r="F280" s="51" t="s">
        <v>49</v>
      </c>
      <c r="G280" s="44" t="s">
        <v>11</v>
      </c>
      <c r="H280" s="41" t="s">
        <v>50</v>
      </c>
      <c r="I280" s="79">
        <f>(D280*0.15*0.4*2)/14.5</f>
        <v>4.752E-2</v>
      </c>
    </row>
    <row r="281" spans="1:9" s="2" customFormat="1" x14ac:dyDescent="0.25">
      <c r="A281" s="78">
        <v>25</v>
      </c>
      <c r="B281" s="82" t="s">
        <v>208</v>
      </c>
      <c r="C281" s="76" t="s">
        <v>4</v>
      </c>
      <c r="D281" s="108">
        <f>(8.98+6.2)*3.7-0.8*2.1</f>
        <v>54.486000000000004</v>
      </c>
      <c r="E281" s="30" t="s">
        <v>181</v>
      </c>
      <c r="F281" s="75" t="s">
        <v>142</v>
      </c>
      <c r="G281" s="78" t="s">
        <v>11</v>
      </c>
      <c r="H281" s="79"/>
      <c r="I281" s="79">
        <f>(D281*1*0.14)/10</f>
        <v>0.76280400000000015</v>
      </c>
    </row>
    <row r="282" spans="1:9" s="2" customFormat="1" ht="25.5" x14ac:dyDescent="0.25">
      <c r="A282" s="78">
        <v>26</v>
      </c>
      <c r="B282" s="82" t="s">
        <v>156</v>
      </c>
      <c r="C282" s="76" t="s">
        <v>4</v>
      </c>
      <c r="D282" s="108">
        <v>15</v>
      </c>
      <c r="E282" s="30" t="s">
        <v>209</v>
      </c>
      <c r="F282" s="77" t="s">
        <v>144</v>
      </c>
      <c r="G282" s="78" t="s">
        <v>11</v>
      </c>
      <c r="H282" s="79"/>
      <c r="I282" s="79">
        <f>(D282/9)*(2/3)</f>
        <v>1.1111111111111112</v>
      </c>
    </row>
    <row r="283" spans="1:9" s="2" customFormat="1" x14ac:dyDescent="0.25">
      <c r="A283" s="78">
        <v>27</v>
      </c>
      <c r="B283" s="82" t="s">
        <v>157</v>
      </c>
      <c r="C283" s="76" t="s">
        <v>4</v>
      </c>
      <c r="D283" s="108">
        <v>15</v>
      </c>
      <c r="E283" s="30"/>
      <c r="F283" s="43"/>
      <c r="G283" s="76"/>
      <c r="H283" s="20"/>
      <c r="I283" s="79"/>
    </row>
    <row r="284" spans="1:9" s="2" customFormat="1" ht="38.25" x14ac:dyDescent="0.25">
      <c r="A284" s="78">
        <v>28</v>
      </c>
      <c r="B284" s="82" t="s">
        <v>147</v>
      </c>
      <c r="C284" s="76" t="s">
        <v>4</v>
      </c>
      <c r="D284" s="108">
        <f>D281</f>
        <v>54.486000000000004</v>
      </c>
      <c r="E284" s="30" t="s">
        <v>210</v>
      </c>
      <c r="F284" s="75" t="s">
        <v>148</v>
      </c>
      <c r="G284" s="78" t="s">
        <v>11</v>
      </c>
      <c r="H284" s="79"/>
      <c r="I284" s="79">
        <f>(D284*2)/93</f>
        <v>1.171741935483871</v>
      </c>
    </row>
    <row r="285" spans="1:9" s="2" customFormat="1" x14ac:dyDescent="0.25">
      <c r="A285" s="172" t="s">
        <v>18</v>
      </c>
      <c r="B285" s="172"/>
      <c r="C285" s="172"/>
      <c r="D285" s="172"/>
      <c r="E285" s="172"/>
      <c r="F285" s="172"/>
      <c r="G285" s="172"/>
      <c r="H285" s="172"/>
      <c r="I285" s="172"/>
    </row>
    <row r="286" spans="1:9" s="2" customFormat="1" ht="12.75" customHeight="1" x14ac:dyDescent="0.25">
      <c r="A286" s="44">
        <v>1</v>
      </c>
      <c r="B286" s="55" t="s">
        <v>19</v>
      </c>
      <c r="C286" s="44" t="s">
        <v>20</v>
      </c>
      <c r="D286" s="138">
        <v>2.2000000000000002</v>
      </c>
      <c r="E286" s="65"/>
      <c r="F286" s="64"/>
      <c r="G286" s="64"/>
      <c r="H286" s="64"/>
      <c r="I286" s="147"/>
    </row>
    <row r="287" spans="1:9" s="2" customFormat="1" x14ac:dyDescent="0.25">
      <c r="A287" s="44">
        <v>2</v>
      </c>
      <c r="B287" s="55" t="s">
        <v>21</v>
      </c>
      <c r="C287" s="44" t="s">
        <v>20</v>
      </c>
      <c r="D287" s="138">
        <v>0.6</v>
      </c>
      <c r="E287" s="65"/>
      <c r="F287" s="64"/>
      <c r="G287" s="64"/>
      <c r="H287" s="64"/>
      <c r="I287" s="147"/>
    </row>
    <row r="288" spans="1:9" s="2" customFormat="1" ht="25.5" x14ac:dyDescent="0.25">
      <c r="A288" s="44">
        <v>3</v>
      </c>
      <c r="B288" s="55" t="s">
        <v>81</v>
      </c>
      <c r="C288" s="44" t="s">
        <v>11</v>
      </c>
      <c r="D288" s="138">
        <v>1</v>
      </c>
      <c r="E288" s="66"/>
      <c r="F288" s="67"/>
      <c r="G288" s="67"/>
      <c r="H288" s="67"/>
      <c r="I288" s="151"/>
    </row>
    <row r="289" spans="1:9" s="2" customFormat="1" x14ac:dyDescent="0.25">
      <c r="A289" s="188" t="s">
        <v>211</v>
      </c>
      <c r="B289" s="188"/>
      <c r="C289" s="188"/>
      <c r="D289" s="188"/>
      <c r="E289" s="188"/>
      <c r="F289" s="188"/>
      <c r="G289" s="188"/>
      <c r="H289" s="188"/>
      <c r="I289" s="188"/>
    </row>
    <row r="290" spans="1:9" s="2" customFormat="1" x14ac:dyDescent="0.25">
      <c r="A290" s="180" t="s">
        <v>15</v>
      </c>
      <c r="B290" s="181"/>
      <c r="C290" s="181"/>
      <c r="D290" s="181"/>
      <c r="E290" s="181"/>
      <c r="F290" s="181"/>
      <c r="G290" s="181"/>
      <c r="H290" s="181"/>
      <c r="I290" s="182"/>
    </row>
    <row r="291" spans="1:9" s="2" customFormat="1" x14ac:dyDescent="0.25">
      <c r="A291" s="11">
        <f>1</f>
        <v>1</v>
      </c>
      <c r="B291" s="106" t="s">
        <v>126</v>
      </c>
      <c r="C291" s="83" t="s">
        <v>4</v>
      </c>
      <c r="D291" s="138">
        <v>49</v>
      </c>
      <c r="E291" s="16"/>
      <c r="F291" s="17"/>
      <c r="G291" s="17"/>
      <c r="H291" s="17"/>
      <c r="I291" s="79"/>
    </row>
    <row r="292" spans="1:9" s="2" customFormat="1" ht="15" customHeight="1" x14ac:dyDescent="0.25">
      <c r="A292" s="76">
        <f t="shared" ref="A292:A296" si="16">A291+1</f>
        <v>2</v>
      </c>
      <c r="B292" s="106" t="s">
        <v>114</v>
      </c>
      <c r="C292" s="78" t="s">
        <v>4</v>
      </c>
      <c r="D292" s="138">
        <v>49</v>
      </c>
      <c r="E292" s="18"/>
      <c r="F292" s="15"/>
      <c r="G292" s="15"/>
      <c r="H292" s="17"/>
      <c r="I292" s="79"/>
    </row>
    <row r="293" spans="1:9" s="2" customFormat="1" ht="15" customHeight="1" x14ac:dyDescent="0.25">
      <c r="A293" s="76">
        <f>A292+1</f>
        <v>3</v>
      </c>
      <c r="B293" s="81" t="s">
        <v>121</v>
      </c>
      <c r="C293" s="83" t="s">
        <v>4</v>
      </c>
      <c r="D293" s="138">
        <v>49</v>
      </c>
      <c r="E293" s="19" t="s">
        <v>28</v>
      </c>
      <c r="F293" s="20" t="s">
        <v>104</v>
      </c>
      <c r="G293" s="17" t="s">
        <v>11</v>
      </c>
      <c r="H293" s="17" t="s">
        <v>105</v>
      </c>
      <c r="I293" s="148">
        <f>(D293*1.6*5)/20</f>
        <v>19.600000000000001</v>
      </c>
    </row>
    <row r="294" spans="1:9" s="74" customFormat="1" ht="15" customHeight="1" x14ac:dyDescent="0.25">
      <c r="A294" s="76">
        <f t="shared" si="16"/>
        <v>4</v>
      </c>
      <c r="B294" s="81" t="s">
        <v>92</v>
      </c>
      <c r="C294" s="83" t="s">
        <v>4</v>
      </c>
      <c r="D294" s="138">
        <v>43</v>
      </c>
      <c r="E294" s="19" t="s">
        <v>37</v>
      </c>
      <c r="F294" s="20" t="s">
        <v>102</v>
      </c>
      <c r="G294" s="17" t="s">
        <v>59</v>
      </c>
      <c r="H294" s="17" t="s">
        <v>106</v>
      </c>
      <c r="I294" s="148">
        <f>D294*0.15</f>
        <v>6.45</v>
      </c>
    </row>
    <row r="295" spans="1:9" s="74" customFormat="1" ht="28.5" customHeight="1" x14ac:dyDescent="0.25">
      <c r="A295" s="11">
        <f t="shared" si="16"/>
        <v>5</v>
      </c>
      <c r="B295" s="106" t="s">
        <v>113</v>
      </c>
      <c r="C295" s="83" t="s">
        <v>10</v>
      </c>
      <c r="D295" s="139">
        <f>6.9*5+5.44*4</f>
        <v>56.260000000000005</v>
      </c>
      <c r="E295" s="19" t="s">
        <v>29</v>
      </c>
      <c r="F295" s="20" t="s">
        <v>103</v>
      </c>
      <c r="G295" s="17" t="s">
        <v>10</v>
      </c>
      <c r="H295" s="21"/>
      <c r="I295" s="148">
        <f>D295</f>
        <v>56.260000000000005</v>
      </c>
    </row>
    <row r="296" spans="1:9" s="74" customFormat="1" ht="15" customHeight="1" x14ac:dyDescent="0.25">
      <c r="A296" s="11">
        <f t="shared" si="16"/>
        <v>6</v>
      </c>
      <c r="B296" s="22" t="s">
        <v>122</v>
      </c>
      <c r="C296" s="23" t="s">
        <v>4</v>
      </c>
      <c r="D296" s="139">
        <v>43</v>
      </c>
      <c r="E296" s="24" t="s">
        <v>32</v>
      </c>
      <c r="F296" s="20" t="s">
        <v>123</v>
      </c>
      <c r="G296" s="17" t="s">
        <v>4</v>
      </c>
      <c r="H296" s="21"/>
      <c r="I296" s="148">
        <f>D296*1.1</f>
        <v>47.300000000000004</v>
      </c>
    </row>
    <row r="297" spans="1:9" s="74" customFormat="1" ht="42.75" customHeight="1" x14ac:dyDescent="0.25">
      <c r="A297" s="12"/>
      <c r="B297" s="25"/>
      <c r="C297" s="26"/>
      <c r="D297" s="140"/>
      <c r="E297" s="24" t="s">
        <v>33</v>
      </c>
      <c r="F297" s="20" t="s">
        <v>107</v>
      </c>
      <c r="G297" s="17" t="s">
        <v>59</v>
      </c>
      <c r="H297" s="21" t="s">
        <v>108</v>
      </c>
      <c r="I297" s="148">
        <f>D296*0.25</f>
        <v>10.75</v>
      </c>
    </row>
    <row r="298" spans="1:9" s="2" customFormat="1" x14ac:dyDescent="0.25">
      <c r="A298" s="80"/>
      <c r="B298" s="25"/>
      <c r="C298" s="27"/>
      <c r="D298" s="140"/>
      <c r="E298" s="24" t="s">
        <v>94</v>
      </c>
      <c r="F298" s="20" t="s">
        <v>66</v>
      </c>
      <c r="G298" s="17" t="s">
        <v>10</v>
      </c>
      <c r="H298" s="15"/>
      <c r="I298" s="148">
        <f>5.5</f>
        <v>5.5</v>
      </c>
    </row>
    <row r="299" spans="1:9" s="2" customFormat="1" ht="25.5" x14ac:dyDescent="0.25">
      <c r="A299" s="123">
        <f>A296+1</f>
        <v>7</v>
      </c>
      <c r="B299" s="106" t="s">
        <v>8</v>
      </c>
      <c r="C299" s="98" t="s">
        <v>10</v>
      </c>
      <c r="D299" s="139">
        <f>2.01+2.446+3.65+2.67+4.6+2.67+0.735+5.45+6.9+3+2.67+4.6-0.8*2-0.9</f>
        <v>38.901000000000003</v>
      </c>
      <c r="E299" s="30" t="s">
        <v>46</v>
      </c>
      <c r="F299" s="20" t="s">
        <v>31</v>
      </c>
      <c r="G299" s="17" t="s">
        <v>10</v>
      </c>
      <c r="H299" s="20" t="s">
        <v>69</v>
      </c>
      <c r="I299" s="148">
        <f>D299*1.05</f>
        <v>40.846050000000005</v>
      </c>
    </row>
    <row r="300" spans="1:9" s="2" customFormat="1" ht="25.5" x14ac:dyDescent="0.25">
      <c r="A300" s="123"/>
      <c r="B300" s="107"/>
      <c r="C300" s="98"/>
      <c r="D300" s="140"/>
      <c r="E300" s="30" t="s">
        <v>47</v>
      </c>
      <c r="F300" s="20" t="s">
        <v>34</v>
      </c>
      <c r="G300" s="17" t="s">
        <v>11</v>
      </c>
      <c r="H300" s="20" t="s">
        <v>35</v>
      </c>
      <c r="I300" s="148">
        <f>(I299-5.085*1.5)*3*1.15</f>
        <v>114.60399750000002</v>
      </c>
    </row>
    <row r="301" spans="1:9" s="2" customFormat="1" ht="25.5" x14ac:dyDescent="0.25">
      <c r="A301" s="124"/>
      <c r="B301" s="31"/>
      <c r="C301" s="99"/>
      <c r="D301" s="140"/>
      <c r="E301" s="30" t="s">
        <v>48</v>
      </c>
      <c r="F301" s="20" t="s">
        <v>118</v>
      </c>
      <c r="G301" s="17" t="s">
        <v>11</v>
      </c>
      <c r="H301" s="20" t="s">
        <v>36</v>
      </c>
      <c r="I301" s="148">
        <f>5.085*3*1.5</f>
        <v>22.8825</v>
      </c>
    </row>
    <row r="302" spans="1:9" ht="15" customHeight="1" x14ac:dyDescent="0.25">
      <c r="A302" s="122">
        <v>8</v>
      </c>
      <c r="B302" s="88" t="s">
        <v>212</v>
      </c>
      <c r="C302" s="89" t="s">
        <v>4</v>
      </c>
      <c r="D302" s="139">
        <v>6</v>
      </c>
      <c r="E302" s="90" t="s">
        <v>44</v>
      </c>
      <c r="F302" s="91" t="s">
        <v>30</v>
      </c>
      <c r="G302" s="92" t="s">
        <v>10</v>
      </c>
      <c r="H302" s="92"/>
      <c r="I302" s="148">
        <v>2</v>
      </c>
    </row>
    <row r="303" spans="1:9" ht="15" customHeight="1" x14ac:dyDescent="0.25">
      <c r="A303" s="125"/>
      <c r="B303" s="93"/>
      <c r="C303" s="94"/>
      <c r="D303" s="140"/>
      <c r="E303" s="90" t="s">
        <v>115</v>
      </c>
      <c r="F303" s="91" t="s">
        <v>67</v>
      </c>
      <c r="G303" s="92" t="s">
        <v>11</v>
      </c>
      <c r="H303" s="92" t="s">
        <v>68</v>
      </c>
      <c r="I303" s="148">
        <f>D302/42</f>
        <v>0.14285714285714285</v>
      </c>
    </row>
    <row r="304" spans="1:9" s="74" customFormat="1" ht="15" customHeight="1" x14ac:dyDescent="0.25">
      <c r="A304" s="126">
        <f>A302+1</f>
        <v>9</v>
      </c>
      <c r="B304" s="95" t="s">
        <v>8</v>
      </c>
      <c r="C304" s="100" t="s">
        <v>10</v>
      </c>
      <c r="D304" s="139">
        <f>(2+2.93)*2-1.43</f>
        <v>8.43</v>
      </c>
      <c r="E304" s="42" t="s">
        <v>45</v>
      </c>
      <c r="F304" s="41" t="s">
        <v>31</v>
      </c>
      <c r="G304" s="34" t="s">
        <v>10</v>
      </c>
      <c r="H304" s="41" t="s">
        <v>69</v>
      </c>
      <c r="I304" s="148">
        <f>D304*1.05</f>
        <v>8.8514999999999997</v>
      </c>
    </row>
    <row r="305" spans="1:9" s="74" customFormat="1" ht="15" customHeight="1" x14ac:dyDescent="0.25">
      <c r="A305" s="126"/>
      <c r="B305" s="95"/>
      <c r="C305" s="100"/>
      <c r="D305" s="140"/>
      <c r="E305" s="42" t="s">
        <v>110</v>
      </c>
      <c r="F305" s="41" t="s">
        <v>34</v>
      </c>
      <c r="G305" s="34" t="s">
        <v>11</v>
      </c>
      <c r="H305" s="41" t="s">
        <v>35</v>
      </c>
      <c r="I305" s="148">
        <f>(I304-5.085)*3*1.15</f>
        <v>12.994424999999998</v>
      </c>
    </row>
    <row r="306" spans="1:9" s="74" customFormat="1" ht="27.75" customHeight="1" x14ac:dyDescent="0.25">
      <c r="A306" s="60"/>
      <c r="B306" s="96"/>
      <c r="C306" s="94"/>
      <c r="D306" s="110"/>
      <c r="E306" s="42" t="s">
        <v>111</v>
      </c>
      <c r="F306" s="41" t="s">
        <v>118</v>
      </c>
      <c r="G306" s="34" t="s">
        <v>11</v>
      </c>
      <c r="H306" s="41" t="s">
        <v>36</v>
      </c>
      <c r="I306" s="148">
        <f>5.085*3</f>
        <v>15.254999999999999</v>
      </c>
    </row>
    <row r="307" spans="1:9" s="74" customFormat="1" ht="15" customHeight="1" x14ac:dyDescent="0.25">
      <c r="A307" s="183" t="s">
        <v>16</v>
      </c>
      <c r="B307" s="181"/>
      <c r="C307" s="181"/>
      <c r="D307" s="184"/>
      <c r="E307" s="181"/>
      <c r="F307" s="181"/>
      <c r="G307" s="181"/>
      <c r="H307" s="181"/>
      <c r="I307" s="182"/>
    </row>
    <row r="308" spans="1:9" s="74" customFormat="1" ht="15" customHeight="1" x14ac:dyDescent="0.25">
      <c r="A308" s="83">
        <v>1</v>
      </c>
      <c r="B308" s="176" t="s">
        <v>206</v>
      </c>
      <c r="C308" s="11" t="s">
        <v>4</v>
      </c>
      <c r="D308" s="135">
        <f>6.125*3.7</f>
        <v>22.662500000000001</v>
      </c>
      <c r="E308" s="30" t="s">
        <v>86</v>
      </c>
      <c r="F308" s="4" t="s">
        <v>134</v>
      </c>
      <c r="G308" s="76" t="s">
        <v>4</v>
      </c>
      <c r="H308" s="6"/>
      <c r="I308" s="148">
        <f>D308*1.1</f>
        <v>24.928750000000004</v>
      </c>
    </row>
    <row r="309" spans="1:9" s="74" customFormat="1" ht="21" customHeight="1" x14ac:dyDescent="0.25">
      <c r="A309" s="47"/>
      <c r="B309" s="177"/>
      <c r="C309" s="12"/>
      <c r="D309" s="136"/>
      <c r="E309" s="30" t="s">
        <v>87</v>
      </c>
      <c r="F309" s="81" t="s">
        <v>184</v>
      </c>
      <c r="G309" s="76" t="s">
        <v>10</v>
      </c>
      <c r="H309" s="7"/>
      <c r="I309" s="148">
        <f>6.125*2+3.7*2+3</f>
        <v>22.65</v>
      </c>
    </row>
    <row r="310" spans="1:9" s="74" customFormat="1" ht="15" customHeight="1" x14ac:dyDescent="0.25">
      <c r="A310" s="47"/>
      <c r="B310" s="177"/>
      <c r="C310" s="12"/>
      <c r="D310" s="136"/>
      <c r="E310" s="30" t="s">
        <v>88</v>
      </c>
      <c r="F310" s="4" t="s">
        <v>185</v>
      </c>
      <c r="G310" s="76" t="s">
        <v>10</v>
      </c>
      <c r="H310" s="6"/>
      <c r="I310" s="148">
        <f>((6.125)/0.4)*3.7+3</f>
        <v>59.65625</v>
      </c>
    </row>
    <row r="311" spans="1:9" s="74" customFormat="1" ht="15" customHeight="1" x14ac:dyDescent="0.25">
      <c r="A311" s="47"/>
      <c r="B311" s="177"/>
      <c r="C311" s="12"/>
      <c r="D311" s="136"/>
      <c r="E311" s="30" t="s">
        <v>89</v>
      </c>
      <c r="F311" s="5" t="s">
        <v>137</v>
      </c>
      <c r="G311" s="76" t="s">
        <v>10</v>
      </c>
      <c r="H311" s="7"/>
      <c r="I311" s="148">
        <f>I309</f>
        <v>22.65</v>
      </c>
    </row>
    <row r="312" spans="1:9" s="74" customFormat="1" ht="31.5" customHeight="1" x14ac:dyDescent="0.25">
      <c r="A312" s="47"/>
      <c r="B312" s="13"/>
      <c r="C312" s="12"/>
      <c r="D312" s="136"/>
      <c r="E312" s="30" t="s">
        <v>90</v>
      </c>
      <c r="F312" s="4" t="s">
        <v>138</v>
      </c>
      <c r="G312" s="76" t="s">
        <v>10</v>
      </c>
      <c r="H312" s="6"/>
      <c r="I312" s="148">
        <f>I310/2</f>
        <v>29.828125</v>
      </c>
    </row>
    <row r="313" spans="1:9" s="74" customFormat="1" ht="26.25" customHeight="1" x14ac:dyDescent="0.25">
      <c r="A313" s="84"/>
      <c r="B313" s="14"/>
      <c r="C313" s="80"/>
      <c r="D313" s="137"/>
      <c r="E313" s="30" t="s">
        <v>91</v>
      </c>
      <c r="F313" s="4" t="s">
        <v>139</v>
      </c>
      <c r="G313" s="76" t="s">
        <v>11</v>
      </c>
      <c r="H313" s="6"/>
      <c r="I313" s="148">
        <f>(D308/10)*20</f>
        <v>45.325000000000003</v>
      </c>
    </row>
    <row r="314" spans="1:9" s="74" customFormat="1" ht="29.25" customHeight="1" x14ac:dyDescent="0.25">
      <c r="A314" s="84">
        <v>2</v>
      </c>
      <c r="B314" s="81" t="s">
        <v>213</v>
      </c>
      <c r="C314" s="78" t="s">
        <v>4</v>
      </c>
      <c r="D314" s="97">
        <f>4*0.5*2</f>
        <v>4</v>
      </c>
      <c r="E314" s="33"/>
      <c r="F314" s="34"/>
      <c r="G314" s="34"/>
      <c r="H314" s="34"/>
      <c r="I314" s="148"/>
    </row>
    <row r="315" spans="1:9" x14ac:dyDescent="0.25">
      <c r="A315" s="78">
        <v>3</v>
      </c>
      <c r="B315" s="81" t="s">
        <v>23</v>
      </c>
      <c r="C315" s="78" t="s">
        <v>4</v>
      </c>
      <c r="D315" s="97">
        <f t="shared" ref="D315:D316" si="17">4*0.5*2</f>
        <v>4</v>
      </c>
      <c r="E315" s="33" t="s">
        <v>28</v>
      </c>
      <c r="F315" s="37" t="s">
        <v>43</v>
      </c>
      <c r="G315" s="38" t="s">
        <v>11</v>
      </c>
      <c r="H315" s="37" t="s">
        <v>61</v>
      </c>
      <c r="I315" s="148">
        <f>(D315*0.14)/10</f>
        <v>5.6000000000000008E-2</v>
      </c>
    </row>
    <row r="316" spans="1:9" ht="25.5" x14ac:dyDescent="0.25">
      <c r="A316" s="78">
        <v>4</v>
      </c>
      <c r="B316" s="81" t="s">
        <v>128</v>
      </c>
      <c r="C316" s="35" t="s">
        <v>4</v>
      </c>
      <c r="D316" s="97">
        <f t="shared" si="17"/>
        <v>4</v>
      </c>
      <c r="E316" s="33" t="s">
        <v>37</v>
      </c>
      <c r="F316" s="41" t="s">
        <v>130</v>
      </c>
      <c r="G316" s="34" t="s">
        <v>59</v>
      </c>
      <c r="H316" s="34" t="s">
        <v>80</v>
      </c>
      <c r="I316" s="148">
        <f>D316*25</f>
        <v>100</v>
      </c>
    </row>
    <row r="317" spans="1:9" x14ac:dyDescent="0.25">
      <c r="A317" s="78">
        <v>5</v>
      </c>
      <c r="B317" s="82" t="s">
        <v>141</v>
      </c>
      <c r="C317" s="76" t="s">
        <v>4</v>
      </c>
      <c r="D317" s="108">
        <f>6.9*3.7+D314</f>
        <v>29.53</v>
      </c>
      <c r="E317" s="42" t="s">
        <v>29</v>
      </c>
      <c r="F317" s="75" t="s">
        <v>142</v>
      </c>
      <c r="G317" s="78" t="s">
        <v>11</v>
      </c>
      <c r="H317" s="79"/>
      <c r="I317" s="79">
        <f>(D317*3*0.14)/10</f>
        <v>1.2402600000000001</v>
      </c>
    </row>
    <row r="318" spans="1:9" x14ac:dyDescent="0.25">
      <c r="A318" s="78">
        <v>6</v>
      </c>
      <c r="B318" s="82" t="s">
        <v>143</v>
      </c>
      <c r="C318" s="76" t="s">
        <v>4</v>
      </c>
      <c r="D318" s="108">
        <f>D317</f>
        <v>29.53</v>
      </c>
      <c r="E318" s="42" t="s">
        <v>32</v>
      </c>
      <c r="F318" s="77" t="s">
        <v>144</v>
      </c>
      <c r="G318" s="78" t="s">
        <v>11</v>
      </c>
      <c r="H318" s="79"/>
      <c r="I318" s="79">
        <f>(D318/9)*(2/3)</f>
        <v>2.1874074074074072</v>
      </c>
    </row>
    <row r="319" spans="1:9" x14ac:dyDescent="0.25">
      <c r="A319" s="78">
        <v>7</v>
      </c>
      <c r="B319" s="77" t="s">
        <v>145</v>
      </c>
      <c r="C319" s="78" t="s">
        <v>4</v>
      </c>
      <c r="D319" s="108">
        <f>D318</f>
        <v>29.53</v>
      </c>
      <c r="E319" s="42" t="s">
        <v>46</v>
      </c>
      <c r="F319" s="77" t="s">
        <v>146</v>
      </c>
      <c r="G319" s="78" t="s">
        <v>4</v>
      </c>
      <c r="H319" s="79"/>
      <c r="I319" s="79">
        <f>D319*1.1</f>
        <v>32.483000000000004</v>
      </c>
    </row>
    <row r="320" spans="1:9" ht="15" customHeight="1" x14ac:dyDescent="0.25">
      <c r="A320" s="78">
        <v>8</v>
      </c>
      <c r="B320" s="82" t="s">
        <v>65</v>
      </c>
      <c r="C320" s="76" t="s">
        <v>4</v>
      </c>
      <c r="D320" s="108">
        <f>D317</f>
        <v>29.53</v>
      </c>
      <c r="E320" s="42"/>
      <c r="F320" s="43"/>
      <c r="G320" s="44"/>
      <c r="H320" s="41"/>
      <c r="I320" s="144"/>
    </row>
    <row r="321" spans="1:9" s="74" customFormat="1" ht="15" customHeight="1" x14ac:dyDescent="0.25">
      <c r="A321" s="78">
        <v>9</v>
      </c>
      <c r="B321" s="82" t="s">
        <v>147</v>
      </c>
      <c r="C321" s="76" t="s">
        <v>4</v>
      </c>
      <c r="D321" s="108">
        <f>D317</f>
        <v>29.53</v>
      </c>
      <c r="E321" s="42" t="s">
        <v>45</v>
      </c>
      <c r="F321" s="75" t="s">
        <v>148</v>
      </c>
      <c r="G321" s="78" t="s">
        <v>11</v>
      </c>
      <c r="H321" s="79"/>
      <c r="I321" s="79">
        <f>(D321*2)/93</f>
        <v>0.63505376344086029</v>
      </c>
    </row>
    <row r="322" spans="1:9" s="74" customFormat="1" ht="15" customHeight="1" x14ac:dyDescent="0.25">
      <c r="A322" s="78">
        <v>10</v>
      </c>
      <c r="B322" s="82" t="s">
        <v>208</v>
      </c>
      <c r="C322" s="76" t="s">
        <v>4</v>
      </c>
      <c r="D322" s="108">
        <f>(2.01+2.446+3.65+3+0.735+3)*3.7+4.612*0.9+(2+3)*2*3.7-(1.43+0.9*2)*2.1</f>
        <v>89.279499999999999</v>
      </c>
      <c r="E322" s="30" t="s">
        <v>54</v>
      </c>
      <c r="F322" s="75" t="s">
        <v>142</v>
      </c>
      <c r="G322" s="78" t="s">
        <v>11</v>
      </c>
      <c r="H322" s="79"/>
      <c r="I322" s="79">
        <f>(D322*1*0.14)/10</f>
        <v>1.2499130000000001</v>
      </c>
    </row>
    <row r="323" spans="1:9" s="74" customFormat="1" ht="15" customHeight="1" x14ac:dyDescent="0.25">
      <c r="A323" s="78">
        <v>11</v>
      </c>
      <c r="B323" s="82" t="s">
        <v>156</v>
      </c>
      <c r="C323" s="76" t="s">
        <v>4</v>
      </c>
      <c r="D323" s="108">
        <v>30</v>
      </c>
      <c r="E323" s="30" t="s">
        <v>55</v>
      </c>
      <c r="F323" s="77" t="s">
        <v>144</v>
      </c>
      <c r="G323" s="78" t="s">
        <v>11</v>
      </c>
      <c r="H323" s="79"/>
      <c r="I323" s="79">
        <f>(D323/9)*(2/3)</f>
        <v>2.2222222222222223</v>
      </c>
    </row>
    <row r="324" spans="1:9" s="74" customFormat="1" ht="15" customHeight="1" x14ac:dyDescent="0.25">
      <c r="A324" s="83">
        <v>12</v>
      </c>
      <c r="B324" s="82" t="s">
        <v>157</v>
      </c>
      <c r="C324" s="76" t="s">
        <v>4</v>
      </c>
      <c r="D324" s="108">
        <v>30</v>
      </c>
      <c r="E324" s="30"/>
      <c r="F324" s="43"/>
      <c r="G324" s="76"/>
      <c r="H324" s="20"/>
      <c r="I324" s="79"/>
    </row>
    <row r="325" spans="1:9" s="74" customFormat="1" ht="15" customHeight="1" x14ac:dyDescent="0.25">
      <c r="A325" s="83">
        <v>13</v>
      </c>
      <c r="B325" s="82" t="s">
        <v>147</v>
      </c>
      <c r="C325" s="76" t="s">
        <v>4</v>
      </c>
      <c r="D325" s="108">
        <f>D322</f>
        <v>89.279499999999999</v>
      </c>
      <c r="E325" s="30" t="s">
        <v>57</v>
      </c>
      <c r="F325" s="75" t="s">
        <v>148</v>
      </c>
      <c r="G325" s="78" t="s">
        <v>11</v>
      </c>
      <c r="H325" s="79"/>
      <c r="I325" s="79">
        <f>(D325*2)/93</f>
        <v>1.9199892473118279</v>
      </c>
    </row>
    <row r="326" spans="1:9" s="74" customFormat="1" ht="15" customHeight="1" x14ac:dyDescent="0.25">
      <c r="A326" s="83">
        <v>14</v>
      </c>
      <c r="B326" s="185" t="s">
        <v>154</v>
      </c>
      <c r="C326" s="45" t="s">
        <v>10</v>
      </c>
      <c r="D326" s="131">
        <f>1.43+2*2.1</f>
        <v>5.63</v>
      </c>
      <c r="E326" s="46" t="s">
        <v>98</v>
      </c>
      <c r="F326" s="41" t="s">
        <v>82</v>
      </c>
      <c r="G326" s="44" t="s">
        <v>11</v>
      </c>
      <c r="H326" s="41"/>
      <c r="I326" s="148">
        <f>(D326*0.15)/3.6</f>
        <v>0.23458333333333331</v>
      </c>
    </row>
    <row r="327" spans="1:9" s="74" customFormat="1" ht="25.5" customHeight="1" x14ac:dyDescent="0.25">
      <c r="A327" s="47"/>
      <c r="B327" s="186"/>
      <c r="C327" s="48"/>
      <c r="D327" s="134"/>
      <c r="E327" s="46" t="s">
        <v>194</v>
      </c>
      <c r="F327" s="41" t="s">
        <v>83</v>
      </c>
      <c r="G327" s="44" t="s">
        <v>11</v>
      </c>
      <c r="H327" s="41"/>
      <c r="I327" s="148">
        <v>4</v>
      </c>
    </row>
    <row r="328" spans="1:9" s="74" customFormat="1" ht="15" customHeight="1" x14ac:dyDescent="0.25">
      <c r="A328" s="47"/>
      <c r="B328" s="49"/>
      <c r="C328" s="48"/>
      <c r="D328" s="134"/>
      <c r="E328" s="46" t="s">
        <v>195</v>
      </c>
      <c r="F328" s="41" t="s">
        <v>84</v>
      </c>
      <c r="G328" s="44" t="s">
        <v>11</v>
      </c>
      <c r="H328" s="41"/>
      <c r="I328" s="148">
        <v>2</v>
      </c>
    </row>
    <row r="329" spans="1:9" s="74" customFormat="1" ht="21.75" customHeight="1" x14ac:dyDescent="0.25">
      <c r="A329" s="47"/>
      <c r="B329" s="49"/>
      <c r="C329" s="48"/>
      <c r="D329" s="134"/>
      <c r="E329" s="46" t="s">
        <v>196</v>
      </c>
      <c r="F329" s="41" t="s">
        <v>39</v>
      </c>
      <c r="G329" s="44" t="s">
        <v>11</v>
      </c>
      <c r="H329" s="41"/>
      <c r="I329" s="148">
        <f>I328*6</f>
        <v>12</v>
      </c>
    </row>
    <row r="330" spans="1:9" x14ac:dyDescent="0.25">
      <c r="A330" s="47"/>
      <c r="B330" s="49"/>
      <c r="C330" s="48"/>
      <c r="D330" s="134"/>
      <c r="E330" s="46" t="s">
        <v>197</v>
      </c>
      <c r="F330" s="41" t="s">
        <v>40</v>
      </c>
      <c r="G330" s="44" t="s">
        <v>11</v>
      </c>
      <c r="H330" s="41"/>
      <c r="I330" s="148">
        <f>D326*13*0.4</f>
        <v>29.276</v>
      </c>
    </row>
    <row r="331" spans="1:9" s="2" customFormat="1" x14ac:dyDescent="0.25">
      <c r="A331" s="47"/>
      <c r="B331" s="49"/>
      <c r="C331" s="48"/>
      <c r="D331" s="134"/>
      <c r="E331" s="46" t="s">
        <v>198</v>
      </c>
      <c r="F331" s="41" t="s">
        <v>41</v>
      </c>
      <c r="G331" s="44" t="s">
        <v>11</v>
      </c>
      <c r="H331" s="41"/>
      <c r="I331" s="148">
        <v>12</v>
      </c>
    </row>
    <row r="332" spans="1:9" ht="82.5" customHeight="1" x14ac:dyDescent="0.25">
      <c r="A332" s="84"/>
      <c r="B332" s="50"/>
      <c r="C332" s="48"/>
      <c r="D332" s="134"/>
      <c r="E332" s="46" t="s">
        <v>217</v>
      </c>
      <c r="F332" s="41" t="s">
        <v>42</v>
      </c>
      <c r="G332" s="44" t="s">
        <v>11</v>
      </c>
      <c r="H332" s="41"/>
      <c r="I332" s="148">
        <f>I331</f>
        <v>12</v>
      </c>
    </row>
    <row r="333" spans="1:9" x14ac:dyDescent="0.25">
      <c r="A333" s="23">
        <v>15</v>
      </c>
      <c r="B333" s="82" t="s">
        <v>159</v>
      </c>
      <c r="C333" s="76" t="s">
        <v>10</v>
      </c>
      <c r="D333" s="131">
        <f>1.43+2*2.1</f>
        <v>5.63</v>
      </c>
      <c r="E333" s="30" t="s">
        <v>109</v>
      </c>
      <c r="F333" s="77" t="s">
        <v>160</v>
      </c>
      <c r="G333" s="78" t="s">
        <v>11</v>
      </c>
      <c r="H333" s="10"/>
      <c r="I333" s="79">
        <f>(D333/3)*1.1</f>
        <v>2.0643333333333334</v>
      </c>
    </row>
    <row r="334" spans="1:9" ht="33.75" customHeight="1" x14ac:dyDescent="0.25">
      <c r="A334" s="23">
        <v>16</v>
      </c>
      <c r="B334" s="36" t="s">
        <v>5</v>
      </c>
      <c r="C334" s="35" t="s">
        <v>10</v>
      </c>
      <c r="D334" s="131">
        <f>1.43+2*2.1</f>
        <v>5.63</v>
      </c>
      <c r="E334" s="42" t="s">
        <v>99</v>
      </c>
      <c r="F334" s="41" t="s">
        <v>43</v>
      </c>
      <c r="G334" s="34" t="s">
        <v>11</v>
      </c>
      <c r="H334" s="41" t="s">
        <v>61</v>
      </c>
      <c r="I334" s="79">
        <f>(D334*2*0.14*0.4)/10</f>
        <v>6.3056000000000001E-2</v>
      </c>
    </row>
    <row r="335" spans="1:9" x14ac:dyDescent="0.25">
      <c r="A335" s="23">
        <v>17</v>
      </c>
      <c r="B335" s="36" t="s">
        <v>22</v>
      </c>
      <c r="C335" s="35" t="s">
        <v>10</v>
      </c>
      <c r="D335" s="131">
        <f>1.43+2*2.1</f>
        <v>5.63</v>
      </c>
      <c r="E335" s="42" t="s">
        <v>175</v>
      </c>
      <c r="F335" s="41" t="s">
        <v>52</v>
      </c>
      <c r="G335" s="34" t="s">
        <v>11</v>
      </c>
      <c r="H335" s="41" t="s">
        <v>51</v>
      </c>
      <c r="I335" s="79">
        <f>(D335*0.48*2*0.4)/18</f>
        <v>0.12010666666666665</v>
      </c>
    </row>
    <row r="336" spans="1:9" x14ac:dyDescent="0.25">
      <c r="A336" s="23">
        <v>18</v>
      </c>
      <c r="B336" s="36" t="s">
        <v>65</v>
      </c>
      <c r="C336" s="35" t="s">
        <v>10</v>
      </c>
      <c r="D336" s="131">
        <f>1.43+2*2.1</f>
        <v>5.63</v>
      </c>
      <c r="E336" s="42"/>
      <c r="F336" s="41"/>
      <c r="G336" s="34"/>
      <c r="H336" s="41"/>
      <c r="I336" s="79"/>
    </row>
    <row r="337" spans="1:10" s="2" customFormat="1" x14ac:dyDescent="0.25">
      <c r="A337" s="23">
        <v>19</v>
      </c>
      <c r="B337" s="36" t="s">
        <v>6</v>
      </c>
      <c r="C337" s="35" t="s">
        <v>10</v>
      </c>
      <c r="D337" s="131">
        <f>1.43+2*2.1</f>
        <v>5.63</v>
      </c>
      <c r="E337" s="42" t="s">
        <v>199</v>
      </c>
      <c r="F337" s="51" t="s">
        <v>49</v>
      </c>
      <c r="G337" s="44" t="s">
        <v>11</v>
      </c>
      <c r="H337" s="41" t="s">
        <v>50</v>
      </c>
      <c r="I337" s="79">
        <f>(D337*0.15*0.4*2)/14.5</f>
        <v>4.6593103448275858E-2</v>
      </c>
    </row>
    <row r="338" spans="1:10" s="2" customFormat="1" x14ac:dyDescent="0.25">
      <c r="A338" s="180" t="s">
        <v>100</v>
      </c>
      <c r="B338" s="181"/>
      <c r="C338" s="181"/>
      <c r="D338" s="181"/>
      <c r="E338" s="181"/>
      <c r="F338" s="181"/>
      <c r="G338" s="181"/>
      <c r="H338" s="181"/>
      <c r="I338" s="182"/>
    </row>
    <row r="339" spans="1:10" s="74" customFormat="1" x14ac:dyDescent="0.25">
      <c r="A339" s="76">
        <v>1</v>
      </c>
      <c r="B339" s="55" t="s">
        <v>205</v>
      </c>
      <c r="C339" s="44" t="s">
        <v>4</v>
      </c>
      <c r="D339" s="138">
        <f>2.1*0.8</f>
        <v>1.6800000000000002</v>
      </c>
      <c r="E339" s="42"/>
      <c r="F339" s="51"/>
      <c r="G339" s="44"/>
      <c r="H339" s="53"/>
      <c r="I339" s="144"/>
    </row>
    <row r="340" spans="1:10" s="74" customFormat="1" ht="51" x14ac:dyDescent="0.25">
      <c r="A340" s="76">
        <v>2</v>
      </c>
      <c r="B340" s="55" t="s">
        <v>204</v>
      </c>
      <c r="C340" s="44" t="s">
        <v>4</v>
      </c>
      <c r="D340" s="138">
        <f>2.1*0.8</f>
        <v>1.6800000000000002</v>
      </c>
      <c r="E340" s="42" t="s">
        <v>53</v>
      </c>
      <c r="F340" s="77" t="s">
        <v>214</v>
      </c>
      <c r="G340" s="44" t="s">
        <v>11</v>
      </c>
      <c r="H340" s="53"/>
      <c r="I340" s="149">
        <v>1</v>
      </c>
    </row>
    <row r="341" spans="1:10" s="74" customFormat="1" x14ac:dyDescent="0.25">
      <c r="A341" s="180" t="s">
        <v>17</v>
      </c>
      <c r="B341" s="181"/>
      <c r="C341" s="181"/>
      <c r="D341" s="181"/>
      <c r="E341" s="181"/>
      <c r="F341" s="181"/>
      <c r="G341" s="181"/>
      <c r="H341" s="181"/>
      <c r="I341" s="182"/>
    </row>
    <row r="342" spans="1:10" s="74" customFormat="1" x14ac:dyDescent="0.25">
      <c r="A342" s="121">
        <v>1</v>
      </c>
      <c r="B342" s="57" t="s">
        <v>12</v>
      </c>
      <c r="C342" s="58" t="s">
        <v>4</v>
      </c>
      <c r="D342" s="131">
        <v>49</v>
      </c>
      <c r="E342" s="42"/>
      <c r="F342" s="34"/>
      <c r="G342" s="34"/>
      <c r="H342" s="34"/>
      <c r="I342" s="149"/>
    </row>
    <row r="343" spans="1:10" s="74" customFormat="1" x14ac:dyDescent="0.25">
      <c r="A343" s="121">
        <f t="shared" ref="A343:A348" si="18">A342+1</f>
        <v>2</v>
      </c>
      <c r="B343" s="57" t="s">
        <v>74</v>
      </c>
      <c r="C343" s="58" t="s">
        <v>4</v>
      </c>
      <c r="D343" s="113">
        <f>D342/2</f>
        <v>24.5</v>
      </c>
      <c r="E343" s="54"/>
      <c r="F343" s="34"/>
      <c r="G343" s="34"/>
      <c r="H343" s="34"/>
      <c r="I343" s="149"/>
    </row>
    <row r="344" spans="1:10" s="74" customFormat="1" x14ac:dyDescent="0.25">
      <c r="A344" s="121">
        <f t="shared" si="18"/>
        <v>3</v>
      </c>
      <c r="B344" s="57" t="s">
        <v>75</v>
      </c>
      <c r="C344" s="58" t="s">
        <v>4</v>
      </c>
      <c r="D344" s="113">
        <f>D342/2</f>
        <v>24.5</v>
      </c>
      <c r="E344" s="54" t="s">
        <v>28</v>
      </c>
      <c r="F344" s="37" t="s">
        <v>43</v>
      </c>
      <c r="G344" s="38" t="s">
        <v>11</v>
      </c>
      <c r="H344" s="37" t="s">
        <v>61</v>
      </c>
      <c r="I344" s="149">
        <f>(D344*1*0.14)/10</f>
        <v>0.34300000000000003</v>
      </c>
    </row>
    <row r="345" spans="1:10" s="74" customFormat="1" x14ac:dyDescent="0.25">
      <c r="A345" s="121">
        <f t="shared" si="18"/>
        <v>4</v>
      </c>
      <c r="B345" s="57" t="s">
        <v>78</v>
      </c>
      <c r="C345" s="58" t="s">
        <v>4</v>
      </c>
      <c r="D345" s="113">
        <f>D342/2</f>
        <v>24.5</v>
      </c>
      <c r="E345" s="54" t="s">
        <v>37</v>
      </c>
      <c r="F345" s="37" t="s">
        <v>52</v>
      </c>
      <c r="G345" s="38" t="s">
        <v>11</v>
      </c>
      <c r="H345" s="37" t="s">
        <v>51</v>
      </c>
      <c r="I345" s="149">
        <f>(D345*0.48*2)/18</f>
        <v>1.3066666666666666</v>
      </c>
    </row>
    <row r="346" spans="1:10" s="74" customFormat="1" x14ac:dyDescent="0.25">
      <c r="A346" s="121">
        <f t="shared" si="18"/>
        <v>5</v>
      </c>
      <c r="B346" s="57" t="s">
        <v>76</v>
      </c>
      <c r="C346" s="58" t="s">
        <v>4</v>
      </c>
      <c r="D346" s="113">
        <f>D342*1.5</f>
        <v>73.5</v>
      </c>
      <c r="E346" s="54" t="s">
        <v>29</v>
      </c>
      <c r="F346" s="37" t="s">
        <v>43</v>
      </c>
      <c r="G346" s="38" t="s">
        <v>11</v>
      </c>
      <c r="H346" s="37" t="s">
        <v>61</v>
      </c>
      <c r="I346" s="149">
        <f>(D346*1*0.14)/10</f>
        <v>1.0290000000000001</v>
      </c>
    </row>
    <row r="347" spans="1:10" s="74" customFormat="1" x14ac:dyDescent="0.25">
      <c r="A347" s="121">
        <f t="shared" si="18"/>
        <v>6</v>
      </c>
      <c r="B347" s="57" t="s">
        <v>77</v>
      </c>
      <c r="C347" s="58" t="s">
        <v>4</v>
      </c>
      <c r="D347" s="113">
        <f>D342*1.5</f>
        <v>73.5</v>
      </c>
      <c r="E347" s="54" t="s">
        <v>32</v>
      </c>
      <c r="F347" s="59" t="s">
        <v>49</v>
      </c>
      <c r="G347" s="60" t="s">
        <v>11</v>
      </c>
      <c r="H347" s="37" t="s">
        <v>50</v>
      </c>
      <c r="I347" s="149">
        <f>(D347*0.15)/14.5</f>
        <v>0.76034482758620692</v>
      </c>
    </row>
    <row r="348" spans="1:10" s="74" customFormat="1" ht="38.25" x14ac:dyDescent="0.25">
      <c r="A348" s="121">
        <f t="shared" si="18"/>
        <v>7</v>
      </c>
      <c r="B348" s="57" t="s">
        <v>9</v>
      </c>
      <c r="C348" s="58" t="s">
        <v>4</v>
      </c>
      <c r="D348" s="131">
        <v>49</v>
      </c>
      <c r="E348" s="54" t="s">
        <v>46</v>
      </c>
      <c r="F348" s="61" t="s">
        <v>158</v>
      </c>
      <c r="G348" s="34" t="s">
        <v>4</v>
      </c>
      <c r="H348" s="34"/>
      <c r="I348" s="149">
        <f>D348</f>
        <v>49</v>
      </c>
    </row>
    <row r="349" spans="1:10" s="74" customFormat="1" x14ac:dyDescent="0.25">
      <c r="A349" s="60"/>
      <c r="B349" s="62"/>
      <c r="C349" s="63"/>
      <c r="D349" s="110"/>
      <c r="E349" s="54" t="s">
        <v>47</v>
      </c>
      <c r="F349" s="41" t="s">
        <v>71</v>
      </c>
      <c r="G349" s="34" t="s">
        <v>11</v>
      </c>
      <c r="H349" s="34"/>
      <c r="I349" s="149">
        <v>3</v>
      </c>
    </row>
    <row r="350" spans="1:10" s="74" customFormat="1" x14ac:dyDescent="0.25">
      <c r="A350" s="180" t="s">
        <v>18</v>
      </c>
      <c r="B350" s="181"/>
      <c r="C350" s="181"/>
      <c r="D350" s="181"/>
      <c r="E350" s="181"/>
      <c r="F350" s="181"/>
      <c r="G350" s="181"/>
      <c r="H350" s="181"/>
      <c r="I350" s="182"/>
    </row>
    <row r="351" spans="1:10" ht="15.75" customHeight="1" x14ac:dyDescent="0.25">
      <c r="A351" s="44">
        <v>1</v>
      </c>
      <c r="B351" s="55" t="s">
        <v>19</v>
      </c>
      <c r="C351" s="44" t="s">
        <v>20</v>
      </c>
      <c r="D351" s="138">
        <v>0.3</v>
      </c>
      <c r="E351" s="65"/>
      <c r="F351" s="64"/>
      <c r="G351" s="64"/>
      <c r="H351" s="64"/>
      <c r="I351" s="147"/>
      <c r="J351" s="1"/>
    </row>
    <row r="352" spans="1:10" s="2" customFormat="1" ht="24" customHeight="1" x14ac:dyDescent="0.25">
      <c r="A352" s="44">
        <v>2</v>
      </c>
      <c r="B352" s="55" t="s">
        <v>85</v>
      </c>
      <c r="C352" s="44" t="s">
        <v>20</v>
      </c>
      <c r="D352" s="138">
        <v>2.5000000000000001E-2</v>
      </c>
      <c r="E352" s="65"/>
      <c r="F352" s="64"/>
      <c r="G352" s="64"/>
      <c r="H352" s="64"/>
      <c r="I352" s="147"/>
      <c r="J352" s="1"/>
    </row>
    <row r="353" spans="1:10" s="2" customFormat="1" ht="56.25" customHeight="1" x14ac:dyDescent="0.25">
      <c r="A353" s="44">
        <v>3</v>
      </c>
      <c r="B353" s="55" t="s">
        <v>81</v>
      </c>
      <c r="C353" s="44" t="s">
        <v>11</v>
      </c>
      <c r="D353" s="138">
        <v>1</v>
      </c>
      <c r="E353" s="66"/>
      <c r="F353" s="67"/>
      <c r="G353" s="67"/>
      <c r="H353" s="67"/>
      <c r="I353" s="151"/>
      <c r="J353" s="1"/>
    </row>
    <row r="354" spans="1:10" x14ac:dyDescent="0.25">
      <c r="A354" s="198" t="s">
        <v>216</v>
      </c>
      <c r="B354" s="198"/>
      <c r="C354" s="198"/>
      <c r="D354" s="198"/>
      <c r="E354" s="198"/>
      <c r="F354" s="198"/>
      <c r="G354" s="198"/>
      <c r="H354" s="198"/>
      <c r="I354" s="198"/>
      <c r="J354" s="101" t="s">
        <v>215</v>
      </c>
    </row>
    <row r="355" spans="1:10" x14ac:dyDescent="0.25">
      <c r="A355" s="180" t="s">
        <v>15</v>
      </c>
      <c r="B355" s="181"/>
      <c r="C355" s="181"/>
      <c r="D355" s="181"/>
      <c r="E355" s="181"/>
      <c r="F355" s="181"/>
      <c r="G355" s="181"/>
      <c r="H355" s="181"/>
      <c r="I355" s="182"/>
    </row>
    <row r="356" spans="1:10" s="74" customFormat="1" x14ac:dyDescent="0.25">
      <c r="A356" s="11">
        <f>1</f>
        <v>1</v>
      </c>
      <c r="B356" s="106" t="s">
        <v>126</v>
      </c>
      <c r="C356" s="83" t="s">
        <v>4</v>
      </c>
      <c r="D356" s="138">
        <f>1.5*4.592+4.595*5.445</f>
        <v>31.907775000000001</v>
      </c>
      <c r="E356" s="16"/>
      <c r="F356" s="17"/>
      <c r="G356" s="17"/>
      <c r="H356" s="17"/>
      <c r="I356" s="79"/>
    </row>
    <row r="357" spans="1:10" s="74" customFormat="1" x14ac:dyDescent="0.25">
      <c r="A357" s="76">
        <f t="shared" ref="A357:A361" si="19">A356+1</f>
        <v>2</v>
      </c>
      <c r="B357" s="106" t="s">
        <v>114</v>
      </c>
      <c r="C357" s="78" t="s">
        <v>4</v>
      </c>
      <c r="D357" s="138">
        <f>1.5*4.592+4.595*5.445</f>
        <v>31.907775000000001</v>
      </c>
      <c r="E357" s="18"/>
      <c r="F357" s="15"/>
      <c r="G357" s="15"/>
      <c r="H357" s="17"/>
      <c r="I357" s="79"/>
    </row>
    <row r="358" spans="1:10" s="74" customFormat="1" ht="38.25" x14ac:dyDescent="0.25">
      <c r="A358" s="76">
        <f>A357+1</f>
        <v>3</v>
      </c>
      <c r="B358" s="81" t="s">
        <v>121</v>
      </c>
      <c r="C358" s="83" t="s">
        <v>4</v>
      </c>
      <c r="D358" s="138">
        <f>1.5*4.592+4.595*5.445</f>
        <v>31.907775000000001</v>
      </c>
      <c r="E358" s="19" t="s">
        <v>28</v>
      </c>
      <c r="F358" s="20" t="s">
        <v>104</v>
      </c>
      <c r="G358" s="17" t="s">
        <v>11</v>
      </c>
      <c r="H358" s="17" t="s">
        <v>105</v>
      </c>
      <c r="I358" s="148">
        <f>(D358*1.6*5)/20</f>
        <v>12.763110000000001</v>
      </c>
    </row>
    <row r="359" spans="1:10" s="74" customFormat="1" x14ac:dyDescent="0.25">
      <c r="A359" s="76">
        <f t="shared" si="19"/>
        <v>4</v>
      </c>
      <c r="B359" s="81" t="s">
        <v>92</v>
      </c>
      <c r="C359" s="83" t="s">
        <v>4</v>
      </c>
      <c r="D359" s="138">
        <f>4.595*5.445</f>
        <v>25.019774999999999</v>
      </c>
      <c r="E359" s="19" t="s">
        <v>37</v>
      </c>
      <c r="F359" s="20" t="s">
        <v>102</v>
      </c>
      <c r="G359" s="17" t="s">
        <v>59</v>
      </c>
      <c r="H359" s="17" t="s">
        <v>106</v>
      </c>
      <c r="I359" s="148">
        <f>D359*0.15</f>
        <v>3.7529662499999996</v>
      </c>
    </row>
    <row r="360" spans="1:10" s="74" customFormat="1" x14ac:dyDescent="0.25">
      <c r="A360" s="11">
        <f t="shared" si="19"/>
        <v>5</v>
      </c>
      <c r="B360" s="106" t="s">
        <v>113</v>
      </c>
      <c r="C360" s="83" t="s">
        <v>10</v>
      </c>
      <c r="D360" s="139">
        <f>4.595*5+5.44*4</f>
        <v>44.734999999999999</v>
      </c>
      <c r="E360" s="19" t="s">
        <v>29</v>
      </c>
      <c r="F360" s="20" t="s">
        <v>103</v>
      </c>
      <c r="G360" s="17" t="s">
        <v>10</v>
      </c>
      <c r="H360" s="21"/>
      <c r="I360" s="148">
        <f>D360</f>
        <v>44.734999999999999</v>
      </c>
    </row>
    <row r="361" spans="1:10" ht="25.5" x14ac:dyDescent="0.25">
      <c r="A361" s="11">
        <f t="shared" si="19"/>
        <v>6</v>
      </c>
      <c r="B361" s="22" t="s">
        <v>122</v>
      </c>
      <c r="C361" s="23" t="s">
        <v>4</v>
      </c>
      <c r="D361" s="139">
        <f>4.595*5.445</f>
        <v>25.019774999999999</v>
      </c>
      <c r="E361" s="24" t="s">
        <v>32</v>
      </c>
      <c r="F361" s="20" t="s">
        <v>123</v>
      </c>
      <c r="G361" s="17" t="s">
        <v>4</v>
      </c>
      <c r="H361" s="21"/>
      <c r="I361" s="148">
        <f>D361*1.1</f>
        <v>27.521752500000002</v>
      </c>
      <c r="J361" s="102"/>
    </row>
    <row r="362" spans="1:10" x14ac:dyDescent="0.25">
      <c r="A362" s="12"/>
      <c r="B362" s="25"/>
      <c r="C362" s="26"/>
      <c r="D362" s="140"/>
      <c r="E362" s="24" t="s">
        <v>33</v>
      </c>
      <c r="F362" s="20" t="s">
        <v>107</v>
      </c>
      <c r="G362" s="17" t="s">
        <v>59</v>
      </c>
      <c r="H362" s="21" t="s">
        <v>108</v>
      </c>
      <c r="I362" s="148">
        <f>D361*0.25</f>
        <v>6.2549437499999998</v>
      </c>
    </row>
    <row r="363" spans="1:10" x14ac:dyDescent="0.25">
      <c r="A363" s="80"/>
      <c r="B363" s="25"/>
      <c r="C363" s="27"/>
      <c r="D363" s="141"/>
      <c r="E363" s="24" t="s">
        <v>94</v>
      </c>
      <c r="F363" s="20" t="s">
        <v>66</v>
      </c>
      <c r="G363" s="17" t="s">
        <v>10</v>
      </c>
      <c r="H363" s="15"/>
      <c r="I363" s="148">
        <v>4.5999999999999996</v>
      </c>
    </row>
    <row r="364" spans="1:10" ht="25.5" x14ac:dyDescent="0.25">
      <c r="A364" s="123">
        <f>A361+1</f>
        <v>7</v>
      </c>
      <c r="B364" s="106" t="s">
        <v>8</v>
      </c>
      <c r="C364" s="98" t="s">
        <v>10</v>
      </c>
      <c r="D364" s="140">
        <f>(4.595+5.445)*2-0.8</f>
        <v>19.279999999999998</v>
      </c>
      <c r="E364" s="30" t="s">
        <v>46</v>
      </c>
      <c r="F364" s="20" t="s">
        <v>31</v>
      </c>
      <c r="G364" s="17" t="s">
        <v>10</v>
      </c>
      <c r="H364" s="20" t="s">
        <v>69</v>
      </c>
      <c r="I364" s="148">
        <f>D364*1.05</f>
        <v>20.244</v>
      </c>
    </row>
    <row r="365" spans="1:10" s="2" customFormat="1" ht="25.5" x14ac:dyDescent="0.25">
      <c r="A365" s="123"/>
      <c r="B365" s="107"/>
      <c r="C365" s="98"/>
      <c r="D365" s="140"/>
      <c r="E365" s="30" t="s">
        <v>47</v>
      </c>
      <c r="F365" s="20" t="s">
        <v>34</v>
      </c>
      <c r="G365" s="17" t="s">
        <v>11</v>
      </c>
      <c r="H365" s="20" t="s">
        <v>35</v>
      </c>
      <c r="I365" s="148">
        <f>(I364-5.085*1.5)*3*1.15</f>
        <v>43.526924999999999</v>
      </c>
    </row>
    <row r="366" spans="1:10" ht="25.5" x14ac:dyDescent="0.25">
      <c r="A366" s="124"/>
      <c r="B366" s="31"/>
      <c r="C366" s="99"/>
      <c r="D366" s="140"/>
      <c r="E366" s="30" t="s">
        <v>48</v>
      </c>
      <c r="F366" s="20" t="s">
        <v>118</v>
      </c>
      <c r="G366" s="17" t="s">
        <v>11</v>
      </c>
      <c r="H366" s="20" t="s">
        <v>36</v>
      </c>
      <c r="I366" s="148">
        <f>5.085*3*1.5</f>
        <v>22.8825</v>
      </c>
    </row>
    <row r="367" spans="1:10" x14ac:dyDescent="0.25">
      <c r="A367" s="122">
        <v>8</v>
      </c>
      <c r="B367" s="88" t="s">
        <v>212</v>
      </c>
      <c r="C367" s="89" t="s">
        <v>4</v>
      </c>
      <c r="D367" s="139">
        <f>1.5*4.592</f>
        <v>6.8879999999999999</v>
      </c>
      <c r="E367" s="90" t="s">
        <v>44</v>
      </c>
      <c r="F367" s="91" t="s">
        <v>30</v>
      </c>
      <c r="G367" s="92" t="s">
        <v>10</v>
      </c>
      <c r="H367" s="92"/>
      <c r="I367" s="148">
        <v>2</v>
      </c>
    </row>
    <row r="368" spans="1:10" ht="15" customHeight="1" x14ac:dyDescent="0.25">
      <c r="A368" s="125"/>
      <c r="B368" s="93"/>
      <c r="C368" s="94"/>
      <c r="D368" s="140"/>
      <c r="E368" s="90" t="s">
        <v>115</v>
      </c>
      <c r="F368" s="91" t="s">
        <v>67</v>
      </c>
      <c r="G368" s="92" t="s">
        <v>11</v>
      </c>
      <c r="H368" s="92" t="s">
        <v>68</v>
      </c>
      <c r="I368" s="148">
        <f>D367/42</f>
        <v>0.16400000000000001</v>
      </c>
    </row>
    <row r="369" spans="1:9" s="74" customFormat="1" ht="25.5" x14ac:dyDescent="0.25">
      <c r="A369" s="126">
        <f>A367+1</f>
        <v>9</v>
      </c>
      <c r="B369" s="95" t="s">
        <v>8</v>
      </c>
      <c r="C369" s="100" t="s">
        <v>10</v>
      </c>
      <c r="D369" s="139">
        <f>(1.5+4.6)*2-0.8*2</f>
        <v>10.6</v>
      </c>
      <c r="E369" s="42" t="s">
        <v>45</v>
      </c>
      <c r="F369" s="41" t="s">
        <v>31</v>
      </c>
      <c r="G369" s="34" t="s">
        <v>10</v>
      </c>
      <c r="H369" s="41" t="s">
        <v>69</v>
      </c>
      <c r="I369" s="148">
        <f>D369*1.05</f>
        <v>11.13</v>
      </c>
    </row>
    <row r="370" spans="1:9" s="74" customFormat="1" ht="25.5" x14ac:dyDescent="0.25">
      <c r="A370" s="126"/>
      <c r="B370" s="95"/>
      <c r="C370" s="100"/>
      <c r="D370" s="140"/>
      <c r="E370" s="42" t="s">
        <v>110</v>
      </c>
      <c r="F370" s="41" t="s">
        <v>34</v>
      </c>
      <c r="G370" s="34" t="s">
        <v>11</v>
      </c>
      <c r="H370" s="41" t="s">
        <v>35</v>
      </c>
      <c r="I370" s="148">
        <f>(I369-5.085)*3*1.15</f>
        <v>20.855250000000002</v>
      </c>
    </row>
    <row r="371" spans="1:9" s="74" customFormat="1" ht="25.5" x14ac:dyDescent="0.25">
      <c r="A371" s="60"/>
      <c r="B371" s="96"/>
      <c r="C371" s="94"/>
      <c r="D371" s="110"/>
      <c r="E371" s="42" t="s">
        <v>111</v>
      </c>
      <c r="F371" s="41" t="s">
        <v>118</v>
      </c>
      <c r="G371" s="34" t="s">
        <v>11</v>
      </c>
      <c r="H371" s="41" t="s">
        <v>36</v>
      </c>
      <c r="I371" s="148">
        <f>5.085*3</f>
        <v>15.254999999999999</v>
      </c>
    </row>
    <row r="372" spans="1:9" s="74" customFormat="1" x14ac:dyDescent="0.25">
      <c r="A372" s="180" t="s">
        <v>16</v>
      </c>
      <c r="B372" s="181"/>
      <c r="C372" s="181"/>
      <c r="D372" s="181"/>
      <c r="E372" s="181"/>
      <c r="F372" s="181"/>
      <c r="G372" s="181"/>
      <c r="H372" s="181"/>
      <c r="I372" s="182"/>
    </row>
    <row r="373" spans="1:9" s="74" customFormat="1" x14ac:dyDescent="0.25">
      <c r="A373" s="78">
        <v>1</v>
      </c>
      <c r="B373" s="81" t="s">
        <v>127</v>
      </c>
      <c r="C373" s="78" t="s">
        <v>4</v>
      </c>
      <c r="D373" s="97">
        <f>5.4*1*0.6</f>
        <v>3.24</v>
      </c>
      <c r="E373" s="33"/>
      <c r="F373" s="34"/>
      <c r="G373" s="34"/>
      <c r="H373" s="34"/>
      <c r="I373" s="148"/>
    </row>
    <row r="374" spans="1:9" s="74" customFormat="1" x14ac:dyDescent="0.25">
      <c r="A374" s="78">
        <v>2</v>
      </c>
      <c r="B374" s="36" t="s">
        <v>23</v>
      </c>
      <c r="C374" s="78" t="s">
        <v>4</v>
      </c>
      <c r="D374" s="97">
        <f t="shared" ref="D374:D377" si="20">(3.29+2.83)*1*0.6</f>
        <v>3.6719999999999997</v>
      </c>
      <c r="E374" s="33" t="s">
        <v>53</v>
      </c>
      <c r="F374" s="37" t="s">
        <v>43</v>
      </c>
      <c r="G374" s="38" t="s">
        <v>11</v>
      </c>
      <c r="H374" s="37" t="s">
        <v>61</v>
      </c>
      <c r="I374" s="148">
        <f>(D374*0.14)/10</f>
        <v>5.1407999999999995E-2</v>
      </c>
    </row>
    <row r="375" spans="1:9" s="74" customFormat="1" ht="25.5" x14ac:dyDescent="0.25">
      <c r="A375" s="78">
        <v>3</v>
      </c>
      <c r="B375" s="36" t="s">
        <v>129</v>
      </c>
      <c r="C375" s="78" t="s">
        <v>4</v>
      </c>
      <c r="D375" s="97">
        <f t="shared" si="20"/>
        <v>3.6719999999999997</v>
      </c>
      <c r="E375" s="39" t="s">
        <v>28</v>
      </c>
      <c r="F375" s="40" t="s">
        <v>161</v>
      </c>
      <c r="G375" s="28" t="s">
        <v>11</v>
      </c>
      <c r="H375" s="40" t="s">
        <v>162</v>
      </c>
      <c r="I375" s="148">
        <f>(D375*1.9*5)/20</f>
        <v>1.7441999999999998</v>
      </c>
    </row>
    <row r="376" spans="1:9" s="74" customFormat="1" ht="25.5" x14ac:dyDescent="0.25">
      <c r="A376" s="78">
        <v>4</v>
      </c>
      <c r="B376" s="81" t="s">
        <v>128</v>
      </c>
      <c r="C376" s="35" t="s">
        <v>4</v>
      </c>
      <c r="D376" s="97">
        <f t="shared" si="20"/>
        <v>3.6719999999999997</v>
      </c>
      <c r="E376" s="33" t="s">
        <v>37</v>
      </c>
      <c r="F376" s="41" t="s">
        <v>130</v>
      </c>
      <c r="G376" s="34" t="s">
        <v>59</v>
      </c>
      <c r="H376" s="34" t="s">
        <v>80</v>
      </c>
      <c r="I376" s="148">
        <f>D376*25</f>
        <v>91.8</v>
      </c>
    </row>
    <row r="377" spans="1:9" s="74" customFormat="1" x14ac:dyDescent="0.25">
      <c r="A377" s="78">
        <f t="shared" ref="A377:A378" si="21">A376+1</f>
        <v>5</v>
      </c>
      <c r="B377" s="36" t="s">
        <v>23</v>
      </c>
      <c r="C377" s="35" t="s">
        <v>4</v>
      </c>
      <c r="D377" s="97">
        <f t="shared" si="20"/>
        <v>3.6719999999999997</v>
      </c>
      <c r="E377" s="33" t="s">
        <v>29</v>
      </c>
      <c r="F377" s="37" t="s">
        <v>43</v>
      </c>
      <c r="G377" s="38" t="s">
        <v>11</v>
      </c>
      <c r="H377" s="37" t="s">
        <v>61</v>
      </c>
      <c r="I377" s="148">
        <f>(D377*0.14)/10</f>
        <v>5.1407999999999995E-2</v>
      </c>
    </row>
    <row r="378" spans="1:9" s="74" customFormat="1" x14ac:dyDescent="0.25">
      <c r="A378" s="78">
        <f t="shared" si="21"/>
        <v>6</v>
      </c>
      <c r="B378" s="36" t="s">
        <v>131</v>
      </c>
      <c r="C378" s="35" t="s">
        <v>4</v>
      </c>
      <c r="D378" s="97">
        <f>5.4*1</f>
        <v>5.4</v>
      </c>
      <c r="E378" s="42" t="s">
        <v>32</v>
      </c>
      <c r="F378" s="41" t="s">
        <v>52</v>
      </c>
      <c r="G378" s="34" t="s">
        <v>11</v>
      </c>
      <c r="H378" s="41" t="s">
        <v>51</v>
      </c>
      <c r="I378" s="148">
        <f>(D378*0.48)/18</f>
        <v>0.14400000000000002</v>
      </c>
    </row>
    <row r="379" spans="1:9" s="74" customFormat="1" x14ac:dyDescent="0.25">
      <c r="A379" s="78">
        <v>7</v>
      </c>
      <c r="B379" s="36" t="s">
        <v>132</v>
      </c>
      <c r="C379" s="35" t="s">
        <v>4</v>
      </c>
      <c r="D379" s="97">
        <f>5.4*1</f>
        <v>5.4</v>
      </c>
      <c r="E379" s="42" t="s">
        <v>46</v>
      </c>
      <c r="F379" s="43" t="s">
        <v>49</v>
      </c>
      <c r="G379" s="44" t="s">
        <v>11</v>
      </c>
      <c r="H379" s="41" t="s">
        <v>50</v>
      </c>
      <c r="I379" s="148">
        <f>(D379*0.15)/14.5</f>
        <v>5.5862068965517243E-2</v>
      </c>
    </row>
    <row r="380" spans="1:9" s="74" customFormat="1" x14ac:dyDescent="0.25">
      <c r="A380" s="83">
        <v>8</v>
      </c>
      <c r="B380" s="185" t="s">
        <v>154</v>
      </c>
      <c r="C380" s="45" t="s">
        <v>10</v>
      </c>
      <c r="D380" s="131">
        <f>0.9+2*2.1</f>
        <v>5.1000000000000005</v>
      </c>
      <c r="E380" s="46" t="s">
        <v>44</v>
      </c>
      <c r="F380" s="41" t="s">
        <v>82</v>
      </c>
      <c r="G380" s="44" t="s">
        <v>11</v>
      </c>
      <c r="H380" s="41"/>
      <c r="I380" s="148">
        <f>(D380*0.15)/3.6</f>
        <v>0.21249999999999999</v>
      </c>
    </row>
    <row r="381" spans="1:9" s="74" customFormat="1" x14ac:dyDescent="0.25">
      <c r="A381" s="47"/>
      <c r="B381" s="186"/>
      <c r="C381" s="48"/>
      <c r="D381" s="134"/>
      <c r="E381" s="46" t="s">
        <v>115</v>
      </c>
      <c r="F381" s="41" t="s">
        <v>83</v>
      </c>
      <c r="G381" s="44" t="s">
        <v>11</v>
      </c>
      <c r="H381" s="41"/>
      <c r="I381" s="148">
        <v>4</v>
      </c>
    </row>
    <row r="382" spans="1:9" s="74" customFormat="1" x14ac:dyDescent="0.25">
      <c r="A382" s="47"/>
      <c r="B382" s="49"/>
      <c r="C382" s="48"/>
      <c r="D382" s="134"/>
      <c r="E382" s="46" t="s">
        <v>116</v>
      </c>
      <c r="F382" s="41" t="s">
        <v>84</v>
      </c>
      <c r="G382" s="44" t="s">
        <v>11</v>
      </c>
      <c r="H382" s="41"/>
      <c r="I382" s="148">
        <v>2</v>
      </c>
    </row>
    <row r="383" spans="1:9" s="74" customFormat="1" x14ac:dyDescent="0.25">
      <c r="A383" s="47"/>
      <c r="B383" s="49"/>
      <c r="C383" s="48"/>
      <c r="D383" s="134"/>
      <c r="E383" s="46" t="s">
        <v>163</v>
      </c>
      <c r="F383" s="41" t="s">
        <v>39</v>
      </c>
      <c r="G383" s="44" t="s">
        <v>11</v>
      </c>
      <c r="H383" s="41"/>
      <c r="I383" s="148">
        <f>I382*6</f>
        <v>12</v>
      </c>
    </row>
    <row r="384" spans="1:9" s="74" customFormat="1" x14ac:dyDescent="0.25">
      <c r="A384" s="47"/>
      <c r="B384" s="49"/>
      <c r="C384" s="48"/>
      <c r="D384" s="134"/>
      <c r="E384" s="46" t="s">
        <v>164</v>
      </c>
      <c r="F384" s="41" t="s">
        <v>40</v>
      </c>
      <c r="G384" s="44" t="s">
        <v>11</v>
      </c>
      <c r="H384" s="41"/>
      <c r="I384" s="148">
        <f>D380*13*0.4</f>
        <v>26.520000000000007</v>
      </c>
    </row>
    <row r="385" spans="1:9" s="74" customFormat="1" x14ac:dyDescent="0.25">
      <c r="A385" s="47"/>
      <c r="B385" s="49"/>
      <c r="C385" s="48"/>
      <c r="D385" s="134"/>
      <c r="E385" s="46" t="s">
        <v>165</v>
      </c>
      <c r="F385" s="41" t="s">
        <v>41</v>
      </c>
      <c r="G385" s="44" t="s">
        <v>11</v>
      </c>
      <c r="H385" s="41"/>
      <c r="I385" s="148">
        <v>12</v>
      </c>
    </row>
    <row r="386" spans="1:9" s="74" customFormat="1" x14ac:dyDescent="0.25">
      <c r="A386" s="84"/>
      <c r="B386" s="50"/>
      <c r="C386" s="48"/>
      <c r="D386" s="134"/>
      <c r="E386" s="46" t="s">
        <v>166</v>
      </c>
      <c r="F386" s="41" t="s">
        <v>42</v>
      </c>
      <c r="G386" s="44" t="s">
        <v>11</v>
      </c>
      <c r="H386" s="41"/>
      <c r="I386" s="148">
        <f>I385</f>
        <v>12</v>
      </c>
    </row>
    <row r="387" spans="1:9" s="74" customFormat="1" x14ac:dyDescent="0.25">
      <c r="A387" s="83">
        <v>9</v>
      </c>
      <c r="B387" s="178" t="s">
        <v>133</v>
      </c>
      <c r="C387" s="11" t="s">
        <v>4</v>
      </c>
      <c r="D387" s="135">
        <f>(5.45)*4.32-3*5-1.2*0.6</f>
        <v>7.8240000000000043</v>
      </c>
      <c r="E387" s="42" t="s">
        <v>45</v>
      </c>
      <c r="F387" s="4" t="s">
        <v>134</v>
      </c>
      <c r="G387" s="76" t="s">
        <v>4</v>
      </c>
      <c r="H387" s="6"/>
      <c r="I387" s="148">
        <f>D387*1.1</f>
        <v>8.606400000000006</v>
      </c>
    </row>
    <row r="388" spans="1:9" s="74" customFormat="1" x14ac:dyDescent="0.25">
      <c r="A388" s="29"/>
      <c r="B388" s="179"/>
      <c r="C388" s="12"/>
      <c r="D388" s="136"/>
      <c r="E388" s="42" t="s">
        <v>110</v>
      </c>
      <c r="F388" s="81" t="s">
        <v>135</v>
      </c>
      <c r="G388" s="76" t="s">
        <v>10</v>
      </c>
      <c r="H388" s="7"/>
      <c r="I388" s="148">
        <f>(D387/10)*12</f>
        <v>9.3888000000000051</v>
      </c>
    </row>
    <row r="389" spans="1:9" s="74" customFormat="1" x14ac:dyDescent="0.25">
      <c r="A389" s="29"/>
      <c r="B389" s="179"/>
      <c r="C389" s="12"/>
      <c r="D389" s="136"/>
      <c r="E389" s="42" t="s">
        <v>111</v>
      </c>
      <c r="F389" s="4" t="s">
        <v>136</v>
      </c>
      <c r="G389" s="76" t="s">
        <v>10</v>
      </c>
      <c r="H389" s="6"/>
      <c r="I389" s="148">
        <f>(D387/10)*22</f>
        <v>17.212800000000009</v>
      </c>
    </row>
    <row r="390" spans="1:9" s="74" customFormat="1" x14ac:dyDescent="0.25">
      <c r="A390" s="29"/>
      <c r="B390" s="179"/>
      <c r="C390" s="12"/>
      <c r="D390" s="136"/>
      <c r="E390" s="42" t="s">
        <v>112</v>
      </c>
      <c r="F390" s="5" t="s">
        <v>137</v>
      </c>
      <c r="G390" s="76" t="s">
        <v>10</v>
      </c>
      <c r="H390" s="7"/>
      <c r="I390" s="148">
        <f>I388</f>
        <v>9.3888000000000051</v>
      </c>
    </row>
    <row r="391" spans="1:9" s="74" customFormat="1" x14ac:dyDescent="0.25">
      <c r="A391" s="29"/>
      <c r="B391" s="13"/>
      <c r="C391" s="12"/>
      <c r="D391" s="136"/>
      <c r="E391" s="42" t="s">
        <v>167</v>
      </c>
      <c r="F391" s="4" t="s">
        <v>138</v>
      </c>
      <c r="G391" s="76" t="s">
        <v>10</v>
      </c>
      <c r="H391" s="6"/>
      <c r="I391" s="148">
        <f>I389/2</f>
        <v>8.6064000000000043</v>
      </c>
    </row>
    <row r="392" spans="1:9" s="74" customFormat="1" x14ac:dyDescent="0.25">
      <c r="A392" s="84"/>
      <c r="B392" s="14"/>
      <c r="C392" s="80"/>
      <c r="D392" s="137"/>
      <c r="E392" s="42" t="s">
        <v>168</v>
      </c>
      <c r="F392" s="4" t="s">
        <v>139</v>
      </c>
      <c r="G392" s="76" t="s">
        <v>11</v>
      </c>
      <c r="H392" s="6"/>
      <c r="I392" s="148">
        <f>(D387/10)*20</f>
        <v>15.648000000000009</v>
      </c>
    </row>
    <row r="393" spans="1:9" s="74" customFormat="1" x14ac:dyDescent="0.25">
      <c r="A393" s="83">
        <v>10</v>
      </c>
      <c r="B393" s="4" t="s">
        <v>140</v>
      </c>
      <c r="C393" s="76" t="s">
        <v>11</v>
      </c>
      <c r="D393" s="108">
        <v>1</v>
      </c>
      <c r="E393" s="42" t="s">
        <v>54</v>
      </c>
      <c r="F393" s="5" t="s">
        <v>95</v>
      </c>
      <c r="G393" s="76" t="s">
        <v>11</v>
      </c>
      <c r="H393" s="6"/>
      <c r="I393" s="148">
        <v>1</v>
      </c>
    </row>
    <row r="394" spans="1:9" s="74" customFormat="1" x14ac:dyDescent="0.25">
      <c r="A394" s="127">
        <v>11</v>
      </c>
      <c r="B394" s="82" t="s">
        <v>141</v>
      </c>
      <c r="C394" s="76" t="s">
        <v>4</v>
      </c>
      <c r="D394" s="108">
        <f>D387</f>
        <v>7.8240000000000043</v>
      </c>
      <c r="E394" s="42" t="s">
        <v>55</v>
      </c>
      <c r="F394" s="75" t="s">
        <v>142</v>
      </c>
      <c r="G394" s="78" t="s">
        <v>11</v>
      </c>
      <c r="H394" s="79"/>
      <c r="I394" s="79">
        <f>(D394*3*0.14)/10</f>
        <v>0.32860800000000018</v>
      </c>
    </row>
    <row r="395" spans="1:9" s="74" customFormat="1" x14ac:dyDescent="0.25">
      <c r="A395" s="127">
        <v>12</v>
      </c>
      <c r="B395" s="82" t="s">
        <v>143</v>
      </c>
      <c r="C395" s="76" t="s">
        <v>4</v>
      </c>
      <c r="D395" s="108">
        <f>D394</f>
        <v>7.8240000000000043</v>
      </c>
      <c r="E395" s="42" t="s">
        <v>56</v>
      </c>
      <c r="F395" s="77" t="s">
        <v>144</v>
      </c>
      <c r="G395" s="78" t="s">
        <v>11</v>
      </c>
      <c r="H395" s="79"/>
      <c r="I395" s="79">
        <f>(D395/9)*(2/3)</f>
        <v>0.57955555555555582</v>
      </c>
    </row>
    <row r="396" spans="1:9" s="74" customFormat="1" x14ac:dyDescent="0.25">
      <c r="A396" s="127">
        <v>13</v>
      </c>
      <c r="B396" s="77" t="s">
        <v>145</v>
      </c>
      <c r="C396" s="78" t="s">
        <v>4</v>
      </c>
      <c r="D396" s="108">
        <f>(3.29+2.83)*4.32-3*5-1.2*0.6*2+D388*2</f>
        <v>9.998400000000002</v>
      </c>
      <c r="E396" s="42" t="s">
        <v>57</v>
      </c>
      <c r="F396" s="77" t="s">
        <v>146</v>
      </c>
      <c r="G396" s="78" t="s">
        <v>4</v>
      </c>
      <c r="H396" s="79"/>
      <c r="I396" s="79">
        <f>D396*1.1</f>
        <v>10.998240000000003</v>
      </c>
    </row>
    <row r="397" spans="1:9" s="74" customFormat="1" x14ac:dyDescent="0.25">
      <c r="A397" s="127">
        <v>14</v>
      </c>
      <c r="B397" s="82" t="s">
        <v>65</v>
      </c>
      <c r="C397" s="76" t="s">
        <v>4</v>
      </c>
      <c r="D397" s="108">
        <f>D394</f>
        <v>7.8240000000000043</v>
      </c>
      <c r="E397" s="42"/>
      <c r="F397" s="43"/>
      <c r="G397" s="44"/>
      <c r="H397" s="41"/>
      <c r="I397" s="144"/>
    </row>
    <row r="398" spans="1:9" s="74" customFormat="1" ht="38.25" x14ac:dyDescent="0.25">
      <c r="A398" s="127">
        <v>15</v>
      </c>
      <c r="B398" s="82" t="s">
        <v>147</v>
      </c>
      <c r="C398" s="76" t="s">
        <v>4</v>
      </c>
      <c r="D398" s="108">
        <f>D394</f>
        <v>7.8240000000000043</v>
      </c>
      <c r="E398" s="42" t="s">
        <v>109</v>
      </c>
      <c r="F398" s="75" t="s">
        <v>148</v>
      </c>
      <c r="G398" s="78" t="s">
        <v>11</v>
      </c>
      <c r="H398" s="79"/>
      <c r="I398" s="79">
        <f>(D398*2)/93</f>
        <v>0.16825806451612912</v>
      </c>
    </row>
    <row r="399" spans="1:9" s="74" customFormat="1" x14ac:dyDescent="0.25">
      <c r="A399" s="127">
        <v>16</v>
      </c>
      <c r="B399" s="82" t="s">
        <v>155</v>
      </c>
      <c r="C399" s="76" t="s">
        <v>4</v>
      </c>
      <c r="D399" s="108">
        <f>(4.59*2+5.45)*3.7-2.1*0.8+(4.592+1.5)*2-3.7-0.8*2.1*2-1.5*1.5</f>
        <v>55.325000000000003</v>
      </c>
      <c r="E399" s="30" t="s">
        <v>99</v>
      </c>
      <c r="F399" s="75" t="s">
        <v>142</v>
      </c>
      <c r="G399" s="78" t="s">
        <v>11</v>
      </c>
      <c r="H399" s="79"/>
      <c r="I399" s="79">
        <f>(D399*1*0.14)/10</f>
        <v>0.77455000000000007</v>
      </c>
    </row>
    <row r="400" spans="1:9" s="74" customFormat="1" ht="25.5" x14ac:dyDescent="0.25">
      <c r="A400" s="127">
        <v>17</v>
      </c>
      <c r="B400" s="82" t="s">
        <v>156</v>
      </c>
      <c r="C400" s="76" t="s">
        <v>4</v>
      </c>
      <c r="D400" s="108">
        <v>25</v>
      </c>
      <c r="E400" s="30" t="s">
        <v>175</v>
      </c>
      <c r="F400" s="77" t="s">
        <v>144</v>
      </c>
      <c r="G400" s="78" t="s">
        <v>11</v>
      </c>
      <c r="H400" s="79"/>
      <c r="I400" s="79">
        <f>(D400/9)*(2/3)</f>
        <v>1.8518518518518516</v>
      </c>
    </row>
    <row r="401" spans="1:9" s="74" customFormat="1" x14ac:dyDescent="0.25">
      <c r="A401" s="127">
        <v>18</v>
      </c>
      <c r="B401" s="82" t="s">
        <v>157</v>
      </c>
      <c r="C401" s="76" t="s">
        <v>4</v>
      </c>
      <c r="D401" s="108">
        <v>25</v>
      </c>
      <c r="E401" s="30"/>
      <c r="F401" s="43"/>
      <c r="G401" s="76"/>
      <c r="H401" s="20"/>
      <c r="I401" s="79"/>
    </row>
    <row r="402" spans="1:9" s="74" customFormat="1" ht="38.25" x14ac:dyDescent="0.25">
      <c r="A402" s="127">
        <v>19</v>
      </c>
      <c r="B402" s="82" t="s">
        <v>147</v>
      </c>
      <c r="C402" s="76" t="s">
        <v>4</v>
      </c>
      <c r="D402" s="108">
        <f>D399</f>
        <v>55.325000000000003</v>
      </c>
      <c r="E402" s="30" t="s">
        <v>199</v>
      </c>
      <c r="F402" s="75" t="s">
        <v>148</v>
      </c>
      <c r="G402" s="78" t="s">
        <v>11</v>
      </c>
      <c r="H402" s="79"/>
      <c r="I402" s="79">
        <f>(D402*2)/93</f>
        <v>1.1897849462365593</v>
      </c>
    </row>
    <row r="403" spans="1:9" s="74" customFormat="1" x14ac:dyDescent="0.25">
      <c r="A403" s="23">
        <v>20</v>
      </c>
      <c r="B403" s="105" t="s">
        <v>218</v>
      </c>
      <c r="C403" s="115" t="s">
        <v>4</v>
      </c>
      <c r="D403" s="135">
        <f>1.5*1.5</f>
        <v>2.25</v>
      </c>
      <c r="E403" s="78"/>
      <c r="F403" s="78"/>
      <c r="G403" s="78"/>
      <c r="H403" s="78"/>
      <c r="I403" s="79"/>
    </row>
    <row r="404" spans="1:9" s="74" customFormat="1" x14ac:dyDescent="0.25">
      <c r="A404" s="83">
        <v>21</v>
      </c>
      <c r="B404" s="105" t="s">
        <v>219</v>
      </c>
      <c r="C404" s="83" t="s">
        <v>4</v>
      </c>
      <c r="D404" s="135">
        <f>1.5*1.5</f>
        <v>2.25</v>
      </c>
      <c r="E404" s="30" t="s">
        <v>178</v>
      </c>
      <c r="F404" s="75" t="s">
        <v>220</v>
      </c>
      <c r="G404" s="116" t="s">
        <v>4</v>
      </c>
      <c r="H404" s="116"/>
      <c r="I404" s="79">
        <f>D404*1.1</f>
        <v>2.4750000000000001</v>
      </c>
    </row>
    <row r="405" spans="1:9" s="74" customFormat="1" x14ac:dyDescent="0.25">
      <c r="A405" s="84"/>
      <c r="B405" s="84"/>
      <c r="C405" s="84"/>
      <c r="D405" s="133"/>
      <c r="E405" s="30" t="s">
        <v>221</v>
      </c>
      <c r="F405" s="77" t="s">
        <v>222</v>
      </c>
      <c r="G405" s="78" t="s">
        <v>11</v>
      </c>
      <c r="H405" s="116"/>
      <c r="I405" s="79">
        <f>((I404)*3*1.1)/25</f>
        <v>0.3267000000000001</v>
      </c>
    </row>
    <row r="406" spans="1:9" s="74" customFormat="1" x14ac:dyDescent="0.25">
      <c r="A406" s="180" t="s">
        <v>100</v>
      </c>
      <c r="B406" s="181"/>
      <c r="C406" s="181"/>
      <c r="D406" s="181"/>
      <c r="E406" s="181"/>
      <c r="F406" s="181"/>
      <c r="G406" s="181"/>
      <c r="H406" s="181"/>
      <c r="I406" s="182"/>
    </row>
    <row r="407" spans="1:9" s="74" customFormat="1" x14ac:dyDescent="0.25">
      <c r="A407" s="76">
        <v>1</v>
      </c>
      <c r="B407" s="55" t="s">
        <v>205</v>
      </c>
      <c r="C407" s="44" t="s">
        <v>4</v>
      </c>
      <c r="D407" s="138">
        <f>2.1*0.8</f>
        <v>1.6800000000000002</v>
      </c>
      <c r="E407" s="42"/>
      <c r="F407" s="51"/>
      <c r="G407" s="44"/>
      <c r="H407" s="53"/>
      <c r="I407" s="144"/>
    </row>
    <row r="408" spans="1:9" s="74" customFormat="1" ht="51" x14ac:dyDescent="0.25">
      <c r="A408" s="76">
        <v>2</v>
      </c>
      <c r="B408" s="55" t="s">
        <v>204</v>
      </c>
      <c r="C408" s="44" t="s">
        <v>4</v>
      </c>
      <c r="D408" s="138">
        <f>2.1*0.8</f>
        <v>1.6800000000000002</v>
      </c>
      <c r="E408" s="42" t="s">
        <v>53</v>
      </c>
      <c r="F408" s="77" t="s">
        <v>203</v>
      </c>
      <c r="G408" s="44" t="s">
        <v>11</v>
      </c>
      <c r="H408" s="53"/>
      <c r="I408" s="149">
        <v>1</v>
      </c>
    </row>
    <row r="409" spans="1:9" s="74" customFormat="1" x14ac:dyDescent="0.25">
      <c r="A409" s="172" t="s">
        <v>72</v>
      </c>
      <c r="B409" s="172"/>
      <c r="C409" s="172"/>
      <c r="D409" s="172"/>
      <c r="E409" s="172"/>
      <c r="F409" s="172"/>
      <c r="G409" s="172"/>
      <c r="H409" s="172"/>
      <c r="I409" s="172"/>
    </row>
    <row r="410" spans="1:9" s="74" customFormat="1" x14ac:dyDescent="0.25">
      <c r="A410" s="76">
        <v>1</v>
      </c>
      <c r="B410" s="81" t="s">
        <v>73</v>
      </c>
      <c r="C410" s="44" t="s">
        <v>4</v>
      </c>
      <c r="D410" s="138">
        <f>3*5</f>
        <v>15</v>
      </c>
      <c r="E410" s="52"/>
      <c r="F410" s="53"/>
      <c r="G410" s="53"/>
      <c r="H410" s="53"/>
      <c r="I410" s="149"/>
    </row>
    <row r="411" spans="1:9" s="74" customFormat="1" ht="76.5" x14ac:dyDescent="0.25">
      <c r="A411" s="76">
        <v>2</v>
      </c>
      <c r="B411" s="81" t="s">
        <v>79</v>
      </c>
      <c r="C411" s="44" t="s">
        <v>4</v>
      </c>
      <c r="D411" s="138">
        <f>3*5</f>
        <v>15</v>
      </c>
      <c r="E411" s="54" t="s">
        <v>53</v>
      </c>
      <c r="F411" s="51" t="s">
        <v>120</v>
      </c>
      <c r="G411" s="44" t="s">
        <v>4</v>
      </c>
      <c r="H411" s="53"/>
      <c r="I411" s="149">
        <f>D411</f>
        <v>15</v>
      </c>
    </row>
    <row r="412" spans="1:9" s="74" customFormat="1" ht="25.5" x14ac:dyDescent="0.25">
      <c r="A412" s="76">
        <v>3</v>
      </c>
      <c r="B412" s="55" t="s">
        <v>96</v>
      </c>
      <c r="C412" s="44" t="s">
        <v>4</v>
      </c>
      <c r="D412" s="138">
        <f>1.8*5</f>
        <v>9</v>
      </c>
      <c r="E412" s="54" t="s">
        <v>28</v>
      </c>
      <c r="F412" s="51" t="s">
        <v>97</v>
      </c>
      <c r="G412" s="44" t="s">
        <v>4</v>
      </c>
      <c r="H412" s="53"/>
      <c r="I412" s="149">
        <f>D412</f>
        <v>9</v>
      </c>
    </row>
    <row r="413" spans="1:9" s="74" customFormat="1" x14ac:dyDescent="0.25">
      <c r="A413" s="180" t="s">
        <v>17</v>
      </c>
      <c r="B413" s="181"/>
      <c r="C413" s="181"/>
      <c r="D413" s="181"/>
      <c r="E413" s="181"/>
      <c r="F413" s="181"/>
      <c r="G413" s="181"/>
      <c r="H413" s="181"/>
      <c r="I413" s="182"/>
    </row>
    <row r="414" spans="1:9" s="74" customFormat="1" x14ac:dyDescent="0.25">
      <c r="A414" s="121">
        <v>1</v>
      </c>
      <c r="B414" s="57" t="s">
        <v>12</v>
      </c>
      <c r="C414" s="58" t="s">
        <v>4</v>
      </c>
      <c r="D414" s="131">
        <f>1.5*4.592+4.595*5.445</f>
        <v>31.907775000000001</v>
      </c>
      <c r="E414" s="42"/>
      <c r="F414" s="34"/>
      <c r="G414" s="34"/>
      <c r="H414" s="34"/>
      <c r="I414" s="149"/>
    </row>
    <row r="415" spans="1:9" s="74" customFormat="1" x14ac:dyDescent="0.25">
      <c r="A415" s="121">
        <f t="shared" ref="A415:A420" si="22">A414+1</f>
        <v>2</v>
      </c>
      <c r="B415" s="57" t="s">
        <v>74</v>
      </c>
      <c r="C415" s="58" t="s">
        <v>4</v>
      </c>
      <c r="D415" s="113">
        <f>D414/2</f>
        <v>15.9538875</v>
      </c>
      <c r="E415" s="54"/>
      <c r="F415" s="34"/>
      <c r="G415" s="34"/>
      <c r="H415" s="34"/>
      <c r="I415" s="149"/>
    </row>
    <row r="416" spans="1:9" s="74" customFormat="1" x14ac:dyDescent="0.25">
      <c r="A416" s="121">
        <f t="shared" si="22"/>
        <v>3</v>
      </c>
      <c r="B416" s="57" t="s">
        <v>75</v>
      </c>
      <c r="C416" s="58" t="s">
        <v>4</v>
      </c>
      <c r="D416" s="113">
        <f>D414/2</f>
        <v>15.9538875</v>
      </c>
      <c r="E416" s="54" t="s">
        <v>28</v>
      </c>
      <c r="F416" s="37" t="s">
        <v>43</v>
      </c>
      <c r="G416" s="38" t="s">
        <v>11</v>
      </c>
      <c r="H416" s="37" t="s">
        <v>61</v>
      </c>
      <c r="I416" s="149">
        <f>(D416*1*0.14)/10</f>
        <v>0.22335442500000005</v>
      </c>
    </row>
    <row r="417" spans="1:9" s="74" customFormat="1" x14ac:dyDescent="0.25">
      <c r="A417" s="121">
        <f t="shared" si="22"/>
        <v>4</v>
      </c>
      <c r="B417" s="57" t="s">
        <v>78</v>
      </c>
      <c r="C417" s="58" t="s">
        <v>4</v>
      </c>
      <c r="D417" s="113">
        <f>D414/2</f>
        <v>15.9538875</v>
      </c>
      <c r="E417" s="54" t="s">
        <v>37</v>
      </c>
      <c r="F417" s="37" t="s">
        <v>52</v>
      </c>
      <c r="G417" s="38" t="s">
        <v>11</v>
      </c>
      <c r="H417" s="37" t="s">
        <v>51</v>
      </c>
      <c r="I417" s="149">
        <f>(D417*0.48*2)/18</f>
        <v>0.85087400000000002</v>
      </c>
    </row>
    <row r="418" spans="1:9" s="74" customFormat="1" x14ac:dyDescent="0.25">
      <c r="A418" s="121">
        <f t="shared" si="22"/>
        <v>5</v>
      </c>
      <c r="B418" s="57" t="s">
        <v>76</v>
      </c>
      <c r="C418" s="58" t="s">
        <v>4</v>
      </c>
      <c r="D418" s="113">
        <f>D414*1.5</f>
        <v>47.861662500000001</v>
      </c>
      <c r="E418" s="54" t="s">
        <v>29</v>
      </c>
      <c r="F418" s="37" t="s">
        <v>43</v>
      </c>
      <c r="G418" s="38" t="s">
        <v>11</v>
      </c>
      <c r="H418" s="37" t="s">
        <v>61</v>
      </c>
      <c r="I418" s="149">
        <f>(D418*1*0.14)/10</f>
        <v>0.67006327500000007</v>
      </c>
    </row>
    <row r="419" spans="1:9" s="74" customFormat="1" x14ac:dyDescent="0.25">
      <c r="A419" s="121">
        <f t="shared" si="22"/>
        <v>6</v>
      </c>
      <c r="B419" s="57" t="s">
        <v>77</v>
      </c>
      <c r="C419" s="58" t="s">
        <v>4</v>
      </c>
      <c r="D419" s="113">
        <f>D414*1.5</f>
        <v>47.861662500000001</v>
      </c>
      <c r="E419" s="54" t="s">
        <v>32</v>
      </c>
      <c r="F419" s="59" t="s">
        <v>49</v>
      </c>
      <c r="G419" s="60" t="s">
        <v>11</v>
      </c>
      <c r="H419" s="37" t="s">
        <v>50</v>
      </c>
      <c r="I419" s="149">
        <f>(D419*0.15)/14.5</f>
        <v>0.49512064655172416</v>
      </c>
    </row>
    <row r="420" spans="1:9" s="74" customFormat="1" ht="38.25" x14ac:dyDescent="0.25">
      <c r="A420" s="121">
        <f t="shared" si="22"/>
        <v>7</v>
      </c>
      <c r="B420" s="57" t="s">
        <v>9</v>
      </c>
      <c r="C420" s="58" t="s">
        <v>4</v>
      </c>
      <c r="D420" s="131">
        <f>1.5*4.592+4.595*5.445</f>
        <v>31.907775000000001</v>
      </c>
      <c r="E420" s="54" t="s">
        <v>46</v>
      </c>
      <c r="F420" s="61" t="s">
        <v>158</v>
      </c>
      <c r="G420" s="34" t="s">
        <v>4</v>
      </c>
      <c r="H420" s="34"/>
      <c r="I420" s="149">
        <f>D420</f>
        <v>31.907775000000001</v>
      </c>
    </row>
    <row r="421" spans="1:9" s="74" customFormat="1" x14ac:dyDescent="0.25">
      <c r="A421" s="60"/>
      <c r="B421" s="62"/>
      <c r="C421" s="63"/>
      <c r="D421" s="110"/>
      <c r="E421" s="54" t="s">
        <v>47</v>
      </c>
      <c r="F421" s="41" t="s">
        <v>71</v>
      </c>
      <c r="G421" s="34" t="s">
        <v>11</v>
      </c>
      <c r="H421" s="34"/>
      <c r="I421" s="149">
        <v>3</v>
      </c>
    </row>
    <row r="422" spans="1:9" s="74" customFormat="1" x14ac:dyDescent="0.25">
      <c r="A422" s="172" t="s">
        <v>18</v>
      </c>
      <c r="B422" s="172"/>
      <c r="C422" s="172"/>
      <c r="D422" s="172"/>
      <c r="E422" s="172"/>
      <c r="F422" s="172"/>
      <c r="G422" s="172"/>
      <c r="H422" s="172"/>
      <c r="I422" s="172"/>
    </row>
    <row r="423" spans="1:9" s="74" customFormat="1" x14ac:dyDescent="0.25">
      <c r="A423" s="44">
        <v>1</v>
      </c>
      <c r="B423" s="57" t="s">
        <v>19</v>
      </c>
      <c r="C423" s="44" t="s">
        <v>20</v>
      </c>
      <c r="D423" s="113">
        <v>0.3</v>
      </c>
      <c r="E423" s="65"/>
      <c r="F423" s="64"/>
      <c r="G423" s="64"/>
      <c r="H423" s="64"/>
      <c r="I423" s="147"/>
    </row>
    <row r="424" spans="1:9" s="74" customFormat="1" x14ac:dyDescent="0.25">
      <c r="A424" s="44">
        <f>A423+1</f>
        <v>2</v>
      </c>
      <c r="B424" s="57" t="s">
        <v>85</v>
      </c>
      <c r="C424" s="44" t="s">
        <v>20</v>
      </c>
      <c r="D424" s="113">
        <v>0.03</v>
      </c>
      <c r="E424" s="65"/>
      <c r="F424" s="64"/>
      <c r="G424" s="64"/>
      <c r="H424" s="64"/>
      <c r="I424" s="147"/>
    </row>
    <row r="425" spans="1:9" s="74" customFormat="1" ht="25.5" x14ac:dyDescent="0.25">
      <c r="A425" s="44">
        <v>3</v>
      </c>
      <c r="B425" s="57" t="s">
        <v>81</v>
      </c>
      <c r="C425" s="44" t="s">
        <v>11</v>
      </c>
      <c r="D425" s="113">
        <v>1</v>
      </c>
      <c r="E425" s="66"/>
      <c r="F425" s="67"/>
      <c r="G425" s="67"/>
      <c r="H425" s="67"/>
      <c r="I425" s="151"/>
    </row>
    <row r="426" spans="1:9" s="74" customFormat="1" x14ac:dyDescent="0.25">
      <c r="A426" s="173" t="s">
        <v>223</v>
      </c>
      <c r="B426" s="173"/>
      <c r="C426" s="173"/>
      <c r="D426" s="173"/>
      <c r="E426" s="173"/>
      <c r="F426" s="173"/>
      <c r="G426" s="173"/>
      <c r="H426" s="173"/>
      <c r="I426" s="173"/>
    </row>
    <row r="427" spans="1:9" s="74" customFormat="1" x14ac:dyDescent="0.25">
      <c r="A427" s="180" t="s">
        <v>15</v>
      </c>
      <c r="B427" s="181"/>
      <c r="C427" s="181"/>
      <c r="D427" s="181"/>
      <c r="E427" s="181"/>
      <c r="F427" s="181"/>
      <c r="G427" s="181"/>
      <c r="H427" s="181"/>
      <c r="I427" s="182"/>
    </row>
    <row r="428" spans="1:9" s="74" customFormat="1" x14ac:dyDescent="0.25">
      <c r="A428" s="11">
        <f>1</f>
        <v>1</v>
      </c>
      <c r="B428" s="106" t="s">
        <v>126</v>
      </c>
      <c r="C428" s="83" t="s">
        <v>4</v>
      </c>
      <c r="D428" s="138">
        <f>6.2*(0.2+5.5+0.6+4.95+0.6*2+0.75+4.95+0.2+0.2+5.5+0.6+6.25)-(2.2*6.25)/2-8*0.6*0.6</f>
        <v>181.82499999999999</v>
      </c>
      <c r="E428" s="16"/>
      <c r="F428" s="17"/>
      <c r="G428" s="17"/>
      <c r="H428" s="17"/>
      <c r="I428" s="79"/>
    </row>
    <row r="429" spans="1:9" s="74" customFormat="1" x14ac:dyDescent="0.25">
      <c r="A429" s="76">
        <f t="shared" ref="A429:A434" si="23">A428+1</f>
        <v>2</v>
      </c>
      <c r="B429" s="106" t="s">
        <v>114</v>
      </c>
      <c r="C429" s="78" t="s">
        <v>4</v>
      </c>
      <c r="D429" s="138">
        <f>6.2*(0.2+5.5+0.6+4.95+0.6*2+0.75+4.95+0.2+0.2+5.5+0.6+6.25)-(2.2*6.25)/2-8*0.6*0.6</f>
        <v>181.82499999999999</v>
      </c>
      <c r="E429" s="18"/>
      <c r="F429" s="15"/>
      <c r="G429" s="15"/>
      <c r="H429" s="17"/>
      <c r="I429" s="79"/>
    </row>
    <row r="430" spans="1:9" s="74" customFormat="1" ht="38.25" x14ac:dyDescent="0.25">
      <c r="A430" s="44">
        <f t="shared" si="23"/>
        <v>3</v>
      </c>
      <c r="B430" s="57" t="s">
        <v>117</v>
      </c>
      <c r="C430" s="35" t="s">
        <v>4</v>
      </c>
      <c r="D430" s="138">
        <f>6.2*(0.2+5.5+0.6+4.95+0.6*2+0.75+4.95+0.2+0.2+5.5+0.6+6.25)-(2.2*6.25)/2-8*0.6*0.6</f>
        <v>181.82499999999999</v>
      </c>
      <c r="E430" s="19" t="s">
        <v>28</v>
      </c>
      <c r="F430" s="20" t="s">
        <v>101</v>
      </c>
      <c r="G430" s="17" t="s">
        <v>93</v>
      </c>
      <c r="H430" s="67"/>
      <c r="I430" s="79">
        <f>D430*0.03</f>
        <v>5.4547499999999998</v>
      </c>
    </row>
    <row r="431" spans="1:9" s="74" customFormat="1" ht="38.25" x14ac:dyDescent="0.25">
      <c r="A431" s="76">
        <v>4</v>
      </c>
      <c r="B431" s="81" t="s">
        <v>121</v>
      </c>
      <c r="C431" s="83" t="s">
        <v>4</v>
      </c>
      <c r="D431" s="138">
        <f>6.2*(0.2+5.5+0.6+4.95+0.6*2+0.75+4.95+0.2+0.2+5.5+0.6+6.25)-(2.2*6.25)/2-8*0.6*0.6</f>
        <v>181.82499999999999</v>
      </c>
      <c r="E431" s="19" t="s">
        <v>37</v>
      </c>
      <c r="F431" s="20" t="s">
        <v>104</v>
      </c>
      <c r="G431" s="17" t="s">
        <v>11</v>
      </c>
      <c r="H431" s="17" t="s">
        <v>105</v>
      </c>
      <c r="I431" s="148">
        <f>(D431*1.6*5)/20</f>
        <v>72.73</v>
      </c>
    </row>
    <row r="432" spans="1:9" s="74" customFormat="1" x14ac:dyDescent="0.25">
      <c r="A432" s="76">
        <f t="shared" si="23"/>
        <v>5</v>
      </c>
      <c r="B432" s="81" t="s">
        <v>92</v>
      </c>
      <c r="C432" s="83" t="s">
        <v>4</v>
      </c>
      <c r="D432" s="138">
        <f>6.2*(0.2+5.5+0.6+4.95+0.6*2+0.75+4.95+0.2+0.2+5.5+0.6+6.25)-(2.2*6.25)/2-8*0.6*0.6</f>
        <v>181.82499999999999</v>
      </c>
      <c r="E432" s="19" t="s">
        <v>29</v>
      </c>
      <c r="F432" s="20" t="s">
        <v>102</v>
      </c>
      <c r="G432" s="17" t="s">
        <v>59</v>
      </c>
      <c r="H432" s="17" t="s">
        <v>106</v>
      </c>
      <c r="I432" s="148">
        <f>D432*0.15</f>
        <v>27.273749999999996</v>
      </c>
    </row>
    <row r="433" spans="1:9" s="74" customFormat="1" x14ac:dyDescent="0.25">
      <c r="A433" s="11">
        <f t="shared" si="23"/>
        <v>6</v>
      </c>
      <c r="B433" s="106" t="s">
        <v>113</v>
      </c>
      <c r="C433" s="83" t="s">
        <v>10</v>
      </c>
      <c r="D433" s="139">
        <f>6.2*(30/1.5)+30*(6.2/1.5)</f>
        <v>248</v>
      </c>
      <c r="E433" s="19" t="s">
        <v>32</v>
      </c>
      <c r="F433" s="20" t="s">
        <v>103</v>
      </c>
      <c r="G433" s="17" t="s">
        <v>10</v>
      </c>
      <c r="H433" s="21"/>
      <c r="I433" s="148">
        <f>D433</f>
        <v>248</v>
      </c>
    </row>
    <row r="434" spans="1:9" s="74" customFormat="1" ht="25.5" x14ac:dyDescent="0.25">
      <c r="A434" s="11">
        <f t="shared" si="23"/>
        <v>7</v>
      </c>
      <c r="B434" s="22" t="s">
        <v>122</v>
      </c>
      <c r="C434" s="23" t="s">
        <v>4</v>
      </c>
      <c r="D434" s="138">
        <f>6.2*(0.2+5.5+0.6+4.95+0.6*2+0.75+4.95+0.2+0.2+5.5+0.6+6.25)-(2.2*6.25)/2-8*0.6*0.6</f>
        <v>181.82499999999999</v>
      </c>
      <c r="E434" s="24" t="s">
        <v>46</v>
      </c>
      <c r="F434" s="20" t="s">
        <v>123</v>
      </c>
      <c r="G434" s="17" t="s">
        <v>4</v>
      </c>
      <c r="H434" s="21"/>
      <c r="I434" s="148">
        <f>D434*1.1</f>
        <v>200.00749999999999</v>
      </c>
    </row>
    <row r="435" spans="1:9" x14ac:dyDescent="0.25">
      <c r="A435" s="12"/>
      <c r="B435" s="25"/>
      <c r="C435" s="26"/>
      <c r="D435" s="140"/>
      <c r="E435" s="24" t="s">
        <v>47</v>
      </c>
      <c r="F435" s="20" t="s">
        <v>107</v>
      </c>
      <c r="G435" s="17" t="s">
        <v>59</v>
      </c>
      <c r="H435" s="21" t="s">
        <v>108</v>
      </c>
      <c r="I435" s="148">
        <f>D434*0.25</f>
        <v>45.456249999999997</v>
      </c>
    </row>
    <row r="436" spans="1:9" x14ac:dyDescent="0.25">
      <c r="A436" s="80"/>
      <c r="B436" s="25"/>
      <c r="C436" s="27"/>
      <c r="D436" s="141"/>
      <c r="E436" s="24" t="s">
        <v>48</v>
      </c>
      <c r="F436" s="20" t="s">
        <v>66</v>
      </c>
      <c r="G436" s="17" t="s">
        <v>10</v>
      </c>
      <c r="H436" s="15"/>
      <c r="I436" s="148">
        <f>8*6.2</f>
        <v>49.6</v>
      </c>
    </row>
    <row r="437" spans="1:9" ht="25.5" x14ac:dyDescent="0.25">
      <c r="A437" s="123">
        <f>A434+1</f>
        <v>8</v>
      </c>
      <c r="B437" s="106" t="s">
        <v>8</v>
      </c>
      <c r="C437" s="98" t="s">
        <v>10</v>
      </c>
      <c r="D437" s="140">
        <f>(18+6.2)*2+(12+4)*2-1.5*2+15.8</f>
        <v>93.2</v>
      </c>
      <c r="E437" s="30" t="s">
        <v>44</v>
      </c>
      <c r="F437" s="20" t="s">
        <v>31</v>
      </c>
      <c r="G437" s="17" t="s">
        <v>10</v>
      </c>
      <c r="H437" s="20" t="s">
        <v>69</v>
      </c>
      <c r="I437" s="148">
        <f>D437*1.05</f>
        <v>97.860000000000014</v>
      </c>
    </row>
    <row r="438" spans="1:9" ht="25.5" x14ac:dyDescent="0.25">
      <c r="A438" s="123"/>
      <c r="B438" s="107"/>
      <c r="C438" s="98"/>
      <c r="D438" s="140"/>
      <c r="E438" s="30" t="s">
        <v>115</v>
      </c>
      <c r="F438" s="20" t="s">
        <v>34</v>
      </c>
      <c r="G438" s="17" t="s">
        <v>11</v>
      </c>
      <c r="H438" s="20" t="s">
        <v>35</v>
      </c>
      <c r="I438" s="148">
        <f>(I437/2)*3</f>
        <v>146.79000000000002</v>
      </c>
    </row>
    <row r="439" spans="1:9" ht="25.5" x14ac:dyDescent="0.25">
      <c r="A439" s="124"/>
      <c r="B439" s="31"/>
      <c r="C439" s="99"/>
      <c r="D439" s="140"/>
      <c r="E439" s="30" t="s">
        <v>116</v>
      </c>
      <c r="F439" s="20" t="s">
        <v>118</v>
      </c>
      <c r="G439" s="17" t="s">
        <v>11</v>
      </c>
      <c r="H439" s="20" t="s">
        <v>36</v>
      </c>
      <c r="I439" s="148">
        <f>(I437/2)*3</f>
        <v>146.79000000000002</v>
      </c>
    </row>
    <row r="440" spans="1:9" s="74" customFormat="1" x14ac:dyDescent="0.25">
      <c r="A440" s="180" t="s">
        <v>16</v>
      </c>
      <c r="B440" s="181"/>
      <c r="C440" s="181"/>
      <c r="D440" s="181"/>
      <c r="E440" s="181"/>
      <c r="F440" s="181"/>
      <c r="G440" s="181"/>
      <c r="H440" s="181"/>
      <c r="I440" s="182"/>
    </row>
    <row r="441" spans="1:9" s="74" customFormat="1" x14ac:dyDescent="0.25">
      <c r="A441" s="78">
        <v>1</v>
      </c>
      <c r="B441" s="81" t="s">
        <v>127</v>
      </c>
      <c r="C441" s="78" t="s">
        <v>4</v>
      </c>
      <c r="D441" s="97">
        <f>5.4*1*0.6*5</f>
        <v>16.200000000000003</v>
      </c>
      <c r="E441" s="33"/>
      <c r="F441" s="34"/>
      <c r="G441" s="34"/>
      <c r="H441" s="34"/>
      <c r="I441" s="148"/>
    </row>
    <row r="442" spans="1:9" s="74" customFormat="1" x14ac:dyDescent="0.25">
      <c r="A442" s="78">
        <v>2</v>
      </c>
      <c r="B442" s="36" t="s">
        <v>23</v>
      </c>
      <c r="C442" s="78" t="s">
        <v>4</v>
      </c>
      <c r="D442" s="97">
        <f t="shared" ref="D442:D445" si="24">5.4*1*0.6*5</f>
        <v>16.200000000000003</v>
      </c>
      <c r="E442" s="33" t="s">
        <v>53</v>
      </c>
      <c r="F442" s="37" t="s">
        <v>43</v>
      </c>
      <c r="G442" s="38" t="s">
        <v>11</v>
      </c>
      <c r="H442" s="37" t="s">
        <v>61</v>
      </c>
      <c r="I442" s="148">
        <f>(D442*0.14)/10</f>
        <v>0.22680000000000006</v>
      </c>
    </row>
    <row r="443" spans="1:9" s="74" customFormat="1" ht="25.5" x14ac:dyDescent="0.25">
      <c r="A443" s="78">
        <v>3</v>
      </c>
      <c r="B443" s="36" t="s">
        <v>129</v>
      </c>
      <c r="C443" s="78" t="s">
        <v>4</v>
      </c>
      <c r="D443" s="97">
        <f t="shared" si="24"/>
        <v>16.200000000000003</v>
      </c>
      <c r="E443" s="39" t="s">
        <v>28</v>
      </c>
      <c r="F443" s="40" t="s">
        <v>161</v>
      </c>
      <c r="G443" s="28" t="s">
        <v>11</v>
      </c>
      <c r="H443" s="40" t="s">
        <v>162</v>
      </c>
      <c r="I443" s="148">
        <f>(D443*1.9*5)/20</f>
        <v>7.6950000000000021</v>
      </c>
    </row>
    <row r="444" spans="1:9" s="74" customFormat="1" ht="25.5" x14ac:dyDescent="0.25">
      <c r="A444" s="78">
        <v>4</v>
      </c>
      <c r="B444" s="81" t="s">
        <v>128</v>
      </c>
      <c r="C444" s="35" t="s">
        <v>4</v>
      </c>
      <c r="D444" s="97">
        <f t="shared" si="24"/>
        <v>16.200000000000003</v>
      </c>
      <c r="E444" s="33" t="s">
        <v>37</v>
      </c>
      <c r="F444" s="41" t="s">
        <v>130</v>
      </c>
      <c r="G444" s="34" t="s">
        <v>59</v>
      </c>
      <c r="H444" s="34" t="s">
        <v>80</v>
      </c>
      <c r="I444" s="148">
        <f>D444*25</f>
        <v>405.00000000000006</v>
      </c>
    </row>
    <row r="445" spans="1:9" s="74" customFormat="1" x14ac:dyDescent="0.25">
      <c r="A445" s="78">
        <f t="shared" ref="A445:A446" si="25">A444+1</f>
        <v>5</v>
      </c>
      <c r="B445" s="36" t="s">
        <v>23</v>
      </c>
      <c r="C445" s="35" t="s">
        <v>4</v>
      </c>
      <c r="D445" s="97">
        <f t="shared" si="24"/>
        <v>16.200000000000003</v>
      </c>
      <c r="E445" s="33" t="s">
        <v>29</v>
      </c>
      <c r="F445" s="37" t="s">
        <v>43</v>
      </c>
      <c r="G445" s="38" t="s">
        <v>11</v>
      </c>
      <c r="H445" s="37" t="s">
        <v>61</v>
      </c>
      <c r="I445" s="148">
        <f>(D445*0.14)/10</f>
        <v>0.22680000000000006</v>
      </c>
    </row>
    <row r="446" spans="1:9" s="74" customFormat="1" x14ac:dyDescent="0.25">
      <c r="A446" s="78">
        <f t="shared" si="25"/>
        <v>6</v>
      </c>
      <c r="B446" s="36" t="s">
        <v>131</v>
      </c>
      <c r="C446" s="35" t="s">
        <v>4</v>
      </c>
      <c r="D446" s="97">
        <f>5.4*1*5</f>
        <v>27</v>
      </c>
      <c r="E446" s="42" t="s">
        <v>32</v>
      </c>
      <c r="F446" s="41" t="s">
        <v>52</v>
      </c>
      <c r="G446" s="34" t="s">
        <v>11</v>
      </c>
      <c r="H446" s="41" t="s">
        <v>51</v>
      </c>
      <c r="I446" s="148">
        <f>(D446*0.48)/18</f>
        <v>0.72</v>
      </c>
    </row>
    <row r="447" spans="1:9" s="74" customFormat="1" x14ac:dyDescent="0.25">
      <c r="A447" s="78">
        <v>7</v>
      </c>
      <c r="B447" s="36" t="s">
        <v>132</v>
      </c>
      <c r="C447" s="35" t="s">
        <v>4</v>
      </c>
      <c r="D447" s="97">
        <f>5.4*1*5</f>
        <v>27</v>
      </c>
      <c r="E447" s="42" t="s">
        <v>46</v>
      </c>
      <c r="F447" s="43" t="s">
        <v>49</v>
      </c>
      <c r="G447" s="44" t="s">
        <v>11</v>
      </c>
      <c r="H447" s="41" t="s">
        <v>50</v>
      </c>
      <c r="I447" s="148">
        <f>(D447*0.15)/14.5</f>
        <v>0.27931034482758621</v>
      </c>
    </row>
    <row r="448" spans="1:9" s="74" customFormat="1" x14ac:dyDescent="0.25">
      <c r="A448" s="83">
        <v>8</v>
      </c>
      <c r="B448" s="185" t="s">
        <v>154</v>
      </c>
      <c r="C448" s="45" t="s">
        <v>10</v>
      </c>
      <c r="D448" s="131">
        <f>1.5*2+4*2.1+1.3+2.2*2</f>
        <v>17.100000000000001</v>
      </c>
      <c r="E448" s="46" t="s">
        <v>44</v>
      </c>
      <c r="F448" s="41" t="s">
        <v>82</v>
      </c>
      <c r="G448" s="44" t="s">
        <v>11</v>
      </c>
      <c r="H448" s="41"/>
      <c r="I448" s="148">
        <f>(D448*0.15)/3.6</f>
        <v>0.71250000000000002</v>
      </c>
    </row>
    <row r="449" spans="1:9" s="74" customFormat="1" x14ac:dyDescent="0.25">
      <c r="A449" s="47"/>
      <c r="B449" s="186"/>
      <c r="C449" s="48"/>
      <c r="D449" s="134"/>
      <c r="E449" s="46" t="s">
        <v>115</v>
      </c>
      <c r="F449" s="41" t="s">
        <v>83</v>
      </c>
      <c r="G449" s="44" t="s">
        <v>11</v>
      </c>
      <c r="H449" s="41"/>
      <c r="I449" s="148">
        <v>4</v>
      </c>
    </row>
    <row r="450" spans="1:9" s="74" customFormat="1" x14ac:dyDescent="0.25">
      <c r="A450" s="47"/>
      <c r="B450" s="49"/>
      <c r="C450" s="48"/>
      <c r="D450" s="134"/>
      <c r="E450" s="46" t="s">
        <v>116</v>
      </c>
      <c r="F450" s="41" t="s">
        <v>84</v>
      </c>
      <c r="G450" s="44" t="s">
        <v>11</v>
      </c>
      <c r="H450" s="41"/>
      <c r="I450" s="148">
        <v>2</v>
      </c>
    </row>
    <row r="451" spans="1:9" s="74" customFormat="1" x14ac:dyDescent="0.25">
      <c r="A451" s="47"/>
      <c r="B451" s="49"/>
      <c r="C451" s="48"/>
      <c r="D451" s="134"/>
      <c r="E451" s="46" t="s">
        <v>163</v>
      </c>
      <c r="F451" s="41" t="s">
        <v>39</v>
      </c>
      <c r="G451" s="44" t="s">
        <v>11</v>
      </c>
      <c r="H451" s="41"/>
      <c r="I451" s="148">
        <f>I450*6</f>
        <v>12</v>
      </c>
    </row>
    <row r="452" spans="1:9" s="74" customFormat="1" x14ac:dyDescent="0.25">
      <c r="A452" s="47"/>
      <c r="B452" s="49"/>
      <c r="C452" s="48"/>
      <c r="D452" s="134"/>
      <c r="E452" s="46" t="s">
        <v>164</v>
      </c>
      <c r="F452" s="41" t="s">
        <v>40</v>
      </c>
      <c r="G452" s="44" t="s">
        <v>11</v>
      </c>
      <c r="H452" s="41"/>
      <c r="I452" s="148">
        <f>D448*13*0.4</f>
        <v>88.920000000000016</v>
      </c>
    </row>
    <row r="453" spans="1:9" s="74" customFormat="1" x14ac:dyDescent="0.25">
      <c r="A453" s="47"/>
      <c r="B453" s="49"/>
      <c r="C453" s="48"/>
      <c r="D453" s="134"/>
      <c r="E453" s="46" t="s">
        <v>165</v>
      </c>
      <c r="F453" s="41" t="s">
        <v>41</v>
      </c>
      <c r="G453" s="44" t="s">
        <v>11</v>
      </c>
      <c r="H453" s="41"/>
      <c r="I453" s="148">
        <v>12</v>
      </c>
    </row>
    <row r="454" spans="1:9" s="74" customFormat="1" x14ac:dyDescent="0.25">
      <c r="A454" s="84"/>
      <c r="B454" s="50"/>
      <c r="C454" s="48"/>
      <c r="D454" s="134"/>
      <c r="E454" s="46" t="s">
        <v>166</v>
      </c>
      <c r="F454" s="41" t="s">
        <v>42</v>
      </c>
      <c r="G454" s="44" t="s">
        <v>11</v>
      </c>
      <c r="H454" s="41"/>
      <c r="I454" s="148">
        <f>I453</f>
        <v>12</v>
      </c>
    </row>
    <row r="455" spans="1:9" s="74" customFormat="1" x14ac:dyDescent="0.25">
      <c r="A455" s="83">
        <v>9</v>
      </c>
      <c r="B455" s="178" t="s">
        <v>133</v>
      </c>
      <c r="C455" s="11" t="s">
        <v>4</v>
      </c>
      <c r="D455" s="135">
        <f>((5.45)*4.32-3*5-1.2*0.6)*4+(4.95*4.32-1.2*0.6)*2</f>
        <v>72.624000000000024</v>
      </c>
      <c r="E455" s="42" t="s">
        <v>45</v>
      </c>
      <c r="F455" s="4" t="s">
        <v>134</v>
      </c>
      <c r="G455" s="76" t="s">
        <v>4</v>
      </c>
      <c r="H455" s="6"/>
      <c r="I455" s="148">
        <f>D455*1.1</f>
        <v>79.886400000000037</v>
      </c>
    </row>
    <row r="456" spans="1:9" s="74" customFormat="1" x14ac:dyDescent="0.25">
      <c r="A456" s="29"/>
      <c r="B456" s="179"/>
      <c r="C456" s="12"/>
      <c r="D456" s="136"/>
      <c r="E456" s="42" t="s">
        <v>110</v>
      </c>
      <c r="F456" s="81" t="s">
        <v>135</v>
      </c>
      <c r="G456" s="76" t="s">
        <v>10</v>
      </c>
      <c r="H456" s="7"/>
      <c r="I456" s="148">
        <f>(D455/10)*12</f>
        <v>87.148800000000023</v>
      </c>
    </row>
    <row r="457" spans="1:9" s="74" customFormat="1" x14ac:dyDescent="0.25">
      <c r="A457" s="29"/>
      <c r="B457" s="179"/>
      <c r="C457" s="12"/>
      <c r="D457" s="136"/>
      <c r="E457" s="42" t="s">
        <v>111</v>
      </c>
      <c r="F457" s="4" t="s">
        <v>136</v>
      </c>
      <c r="G457" s="76" t="s">
        <v>10</v>
      </c>
      <c r="H457" s="6"/>
      <c r="I457" s="148">
        <f>(D455/10)*22</f>
        <v>159.77280000000005</v>
      </c>
    </row>
    <row r="458" spans="1:9" s="74" customFormat="1" x14ac:dyDescent="0.25">
      <c r="A458" s="29"/>
      <c r="B458" s="179"/>
      <c r="C458" s="12"/>
      <c r="D458" s="136"/>
      <c r="E458" s="42" t="s">
        <v>112</v>
      </c>
      <c r="F458" s="5" t="s">
        <v>137</v>
      </c>
      <c r="G458" s="76" t="s">
        <v>10</v>
      </c>
      <c r="H458" s="7"/>
      <c r="I458" s="148">
        <f>I456</f>
        <v>87.148800000000023</v>
      </c>
    </row>
    <row r="459" spans="1:9" s="74" customFormat="1" x14ac:dyDescent="0.25">
      <c r="A459" s="29"/>
      <c r="B459" s="13"/>
      <c r="C459" s="12"/>
      <c r="D459" s="136"/>
      <c r="E459" s="42" t="s">
        <v>167</v>
      </c>
      <c r="F459" s="4" t="s">
        <v>138</v>
      </c>
      <c r="G459" s="76" t="s">
        <v>10</v>
      </c>
      <c r="H459" s="6"/>
      <c r="I459" s="148">
        <f>I457/2</f>
        <v>79.886400000000023</v>
      </c>
    </row>
    <row r="460" spans="1:9" s="74" customFormat="1" x14ac:dyDescent="0.25">
      <c r="A460" s="84"/>
      <c r="B460" s="14"/>
      <c r="C460" s="80"/>
      <c r="D460" s="137"/>
      <c r="E460" s="42" t="s">
        <v>168</v>
      </c>
      <c r="F460" s="4" t="s">
        <v>139</v>
      </c>
      <c r="G460" s="76" t="s">
        <v>11</v>
      </c>
      <c r="H460" s="6"/>
      <c r="I460" s="148">
        <f>(D455/10)*20</f>
        <v>145.24800000000005</v>
      </c>
    </row>
    <row r="461" spans="1:9" s="74" customFormat="1" x14ac:dyDescent="0.25">
      <c r="A461" s="83">
        <v>10</v>
      </c>
      <c r="B461" s="4" t="s">
        <v>140</v>
      </c>
      <c r="C461" s="76" t="s">
        <v>11</v>
      </c>
      <c r="D461" s="108">
        <v>5</v>
      </c>
      <c r="E461" s="42" t="s">
        <v>54</v>
      </c>
      <c r="F461" s="5" t="s">
        <v>95</v>
      </c>
      <c r="G461" s="76" t="s">
        <v>11</v>
      </c>
      <c r="H461" s="6"/>
      <c r="I461" s="148">
        <v>5</v>
      </c>
    </row>
    <row r="462" spans="1:9" s="74" customFormat="1" x14ac:dyDescent="0.25">
      <c r="A462" s="83">
        <v>11</v>
      </c>
      <c r="B462" s="177" t="s">
        <v>183</v>
      </c>
      <c r="C462" s="12" t="s">
        <v>4</v>
      </c>
      <c r="D462" s="136">
        <f>2*3*3.7*0.7+0.7*3.7*7+0.3*3.7*11+2*2*3.7</f>
        <v>60.680000000000007</v>
      </c>
      <c r="E462" s="42" t="s">
        <v>55</v>
      </c>
      <c r="F462" s="4" t="s">
        <v>134</v>
      </c>
      <c r="G462" s="76" t="s">
        <v>4</v>
      </c>
      <c r="H462" s="6"/>
      <c r="I462" s="148">
        <f>D462*1.1</f>
        <v>66.748000000000019</v>
      </c>
    </row>
    <row r="463" spans="1:9" s="74" customFormat="1" x14ac:dyDescent="0.25">
      <c r="A463" s="47"/>
      <c r="B463" s="177"/>
      <c r="C463" s="12"/>
      <c r="D463" s="136"/>
      <c r="E463" s="42" t="s">
        <v>170</v>
      </c>
      <c r="F463" s="81" t="s">
        <v>184</v>
      </c>
      <c r="G463" s="76" t="s">
        <v>10</v>
      </c>
      <c r="H463" s="7"/>
      <c r="I463" s="148">
        <f>(0.7*13)*2+2*2*2+0.3*15*2+10*3.7+24*3.7</f>
        <v>161</v>
      </c>
    </row>
    <row r="464" spans="1:9" s="74" customFormat="1" x14ac:dyDescent="0.25">
      <c r="A464" s="47"/>
      <c r="B464" s="177"/>
      <c r="C464" s="12"/>
      <c r="D464" s="136"/>
      <c r="E464" s="42" t="s">
        <v>172</v>
      </c>
      <c r="F464" s="4" t="s">
        <v>185</v>
      </c>
      <c r="G464" s="76" t="s">
        <v>10</v>
      </c>
      <c r="H464" s="6"/>
      <c r="I464" s="148">
        <f>(2+4+6+2+2+4+3+1+1+6+3+1)*3.7</f>
        <v>129.5</v>
      </c>
    </row>
    <row r="465" spans="1:9" s="74" customFormat="1" x14ac:dyDescent="0.25">
      <c r="A465" s="47"/>
      <c r="B465" s="177"/>
      <c r="C465" s="12"/>
      <c r="D465" s="136"/>
      <c r="E465" s="42" t="s">
        <v>173</v>
      </c>
      <c r="F465" s="5" t="s">
        <v>137</v>
      </c>
      <c r="G465" s="76" t="s">
        <v>10</v>
      </c>
      <c r="H465" s="7"/>
      <c r="I465" s="148">
        <f>I463</f>
        <v>161</v>
      </c>
    </row>
    <row r="466" spans="1:9" s="74" customFormat="1" x14ac:dyDescent="0.25">
      <c r="A466" s="47"/>
      <c r="B466" s="13"/>
      <c r="C466" s="12"/>
      <c r="D466" s="136"/>
      <c r="E466" s="42" t="s">
        <v>174</v>
      </c>
      <c r="F466" s="4" t="s">
        <v>138</v>
      </c>
      <c r="G466" s="76" t="s">
        <v>10</v>
      </c>
      <c r="H466" s="6"/>
      <c r="I466" s="148">
        <f>I464/2</f>
        <v>64.75</v>
      </c>
    </row>
    <row r="467" spans="1:9" s="74" customFormat="1" x14ac:dyDescent="0.25">
      <c r="A467" s="84"/>
      <c r="B467" s="14"/>
      <c r="C467" s="80"/>
      <c r="D467" s="137"/>
      <c r="E467" s="42" t="s">
        <v>171</v>
      </c>
      <c r="F467" s="4" t="s">
        <v>139</v>
      </c>
      <c r="G467" s="76" t="s">
        <v>11</v>
      </c>
      <c r="H467" s="6"/>
      <c r="I467" s="148">
        <f>(D462/10)*20</f>
        <v>121.36000000000001</v>
      </c>
    </row>
    <row r="468" spans="1:9" s="74" customFormat="1" x14ac:dyDescent="0.25">
      <c r="A468" s="83">
        <v>12</v>
      </c>
      <c r="B468" s="176" t="s">
        <v>206</v>
      </c>
      <c r="C468" s="11" t="s">
        <v>4</v>
      </c>
      <c r="D468" s="135">
        <f>(5.576+4.952+4.944+5.516+6)*4.32-1.5*2.1+5.4*3.7*3-1.3*2.2*2+4*3.7-1.5*2.3</f>
        <v>179.00816000000003</v>
      </c>
      <c r="E468" s="42" t="s">
        <v>56</v>
      </c>
      <c r="F468" s="4" t="s">
        <v>134</v>
      </c>
      <c r="G468" s="76" t="s">
        <v>4</v>
      </c>
      <c r="H468" s="6"/>
      <c r="I468" s="148">
        <f>D468*1.1</f>
        <v>196.90897600000005</v>
      </c>
    </row>
    <row r="469" spans="1:9" s="74" customFormat="1" x14ac:dyDescent="0.25">
      <c r="A469" s="47"/>
      <c r="B469" s="177"/>
      <c r="C469" s="12"/>
      <c r="D469" s="136"/>
      <c r="E469" s="42" t="s">
        <v>189</v>
      </c>
      <c r="F469" s="81" t="s">
        <v>184</v>
      </c>
      <c r="G469" s="76" t="s">
        <v>10</v>
      </c>
      <c r="H469" s="7"/>
      <c r="I469" s="148">
        <f>(5.576+4.952+4.944+5.516+6)*2-1.5*2+5.4*3*2-1.3*2+3.7*8+4.32*10</f>
        <v>153.57600000000002</v>
      </c>
    </row>
    <row r="470" spans="1:9" s="74" customFormat="1" x14ac:dyDescent="0.25">
      <c r="A470" s="47"/>
      <c r="B470" s="177"/>
      <c r="C470" s="12"/>
      <c r="D470" s="136"/>
      <c r="E470" s="42" t="s">
        <v>190</v>
      </c>
      <c r="F470" s="4" t="s">
        <v>185</v>
      </c>
      <c r="G470" s="76" t="s">
        <v>10</v>
      </c>
      <c r="H470" s="6"/>
      <c r="I470" s="148">
        <f>((5.4*3+4)/0.4)*3.7+((5.576+4.952+4.944+5.516+6)/0.4)*4.32</f>
        <v>478.32040000000006</v>
      </c>
    </row>
    <row r="471" spans="1:9" s="74" customFormat="1" x14ac:dyDescent="0.25">
      <c r="A471" s="47"/>
      <c r="B471" s="177"/>
      <c r="C471" s="12"/>
      <c r="D471" s="136"/>
      <c r="E471" s="42" t="s">
        <v>191</v>
      </c>
      <c r="F471" s="5" t="s">
        <v>137</v>
      </c>
      <c r="G471" s="76" t="s">
        <v>10</v>
      </c>
      <c r="H471" s="7"/>
      <c r="I471" s="148">
        <f>I469</f>
        <v>153.57600000000002</v>
      </c>
    </row>
    <row r="472" spans="1:9" s="74" customFormat="1" x14ac:dyDescent="0.25">
      <c r="A472" s="47"/>
      <c r="B472" s="13"/>
      <c r="C472" s="12"/>
      <c r="D472" s="136"/>
      <c r="E472" s="42" t="s">
        <v>192</v>
      </c>
      <c r="F472" s="4" t="s">
        <v>138</v>
      </c>
      <c r="G472" s="76" t="s">
        <v>10</v>
      </c>
      <c r="H472" s="6"/>
      <c r="I472" s="148">
        <f>I470/2</f>
        <v>239.16020000000003</v>
      </c>
    </row>
    <row r="473" spans="1:9" s="74" customFormat="1" x14ac:dyDescent="0.25">
      <c r="A473" s="84"/>
      <c r="B473" s="14"/>
      <c r="C473" s="80"/>
      <c r="D473" s="137"/>
      <c r="E473" s="42" t="s">
        <v>193</v>
      </c>
      <c r="F473" s="4" t="s">
        <v>139</v>
      </c>
      <c r="G473" s="76" t="s">
        <v>11</v>
      </c>
      <c r="H473" s="6"/>
      <c r="I473" s="148">
        <f>(D468/10)*20</f>
        <v>358.01632000000006</v>
      </c>
    </row>
    <row r="474" spans="1:9" s="74" customFormat="1" x14ac:dyDescent="0.25">
      <c r="A474" s="84">
        <v>13</v>
      </c>
      <c r="B474" s="82" t="s">
        <v>141</v>
      </c>
      <c r="C474" s="76" t="s">
        <v>4</v>
      </c>
      <c r="D474" s="108">
        <f>D468+D462+D455</f>
        <v>312.31216000000006</v>
      </c>
      <c r="E474" s="42" t="s">
        <v>57</v>
      </c>
      <c r="F474" s="75" t="s">
        <v>142</v>
      </c>
      <c r="G474" s="78" t="s">
        <v>11</v>
      </c>
      <c r="H474" s="79"/>
      <c r="I474" s="79">
        <f>(D474*3*0.14)/10</f>
        <v>13.117110720000005</v>
      </c>
    </row>
    <row r="475" spans="1:9" s="74" customFormat="1" x14ac:dyDescent="0.25">
      <c r="A475" s="78">
        <v>14</v>
      </c>
      <c r="B475" s="82" t="s">
        <v>143</v>
      </c>
      <c r="C475" s="76" t="s">
        <v>4</v>
      </c>
      <c r="D475" s="108">
        <f>D474</f>
        <v>312.31216000000006</v>
      </c>
      <c r="E475" s="42" t="s">
        <v>98</v>
      </c>
      <c r="F475" s="77" t="s">
        <v>144</v>
      </c>
      <c r="G475" s="78" t="s">
        <v>11</v>
      </c>
      <c r="H475" s="79"/>
      <c r="I475" s="79">
        <f>(D475/9)*(2/3)</f>
        <v>23.134234074074076</v>
      </c>
    </row>
    <row r="476" spans="1:9" s="74" customFormat="1" x14ac:dyDescent="0.25">
      <c r="A476" s="78">
        <v>15</v>
      </c>
      <c r="B476" s="77" t="s">
        <v>145</v>
      </c>
      <c r="C476" s="78" t="s">
        <v>4</v>
      </c>
      <c r="D476" s="108">
        <f>D468+D455*2+D448+0.7*4*2</f>
        <v>346.95616000000012</v>
      </c>
      <c r="E476" s="42" t="s">
        <v>109</v>
      </c>
      <c r="F476" s="77" t="s">
        <v>146</v>
      </c>
      <c r="G476" s="78" t="s">
        <v>4</v>
      </c>
      <c r="H476" s="79"/>
      <c r="I476" s="79">
        <f>D476*1.1</f>
        <v>381.65177600000015</v>
      </c>
    </row>
    <row r="477" spans="1:9" s="74" customFormat="1" x14ac:dyDescent="0.25">
      <c r="A477" s="78">
        <v>16</v>
      </c>
      <c r="B477" s="82" t="s">
        <v>65</v>
      </c>
      <c r="C477" s="76" t="s">
        <v>4</v>
      </c>
      <c r="D477" s="108">
        <f>D474</f>
        <v>312.31216000000006</v>
      </c>
      <c r="E477" s="42"/>
      <c r="F477" s="43"/>
      <c r="G477" s="44"/>
      <c r="H477" s="41"/>
      <c r="I477" s="144"/>
    </row>
    <row r="478" spans="1:9" s="74" customFormat="1" ht="38.25" x14ac:dyDescent="0.25">
      <c r="A478" s="78">
        <v>17</v>
      </c>
      <c r="B478" s="82" t="s">
        <v>147</v>
      </c>
      <c r="C478" s="76" t="s">
        <v>4</v>
      </c>
      <c r="D478" s="108">
        <f>D474</f>
        <v>312.31216000000006</v>
      </c>
      <c r="E478" s="42" t="s">
        <v>175</v>
      </c>
      <c r="F478" s="75" t="s">
        <v>148</v>
      </c>
      <c r="G478" s="78" t="s">
        <v>11</v>
      </c>
      <c r="H478" s="79"/>
      <c r="I478" s="79">
        <f>(D478*2)/93</f>
        <v>6.7163905376344095</v>
      </c>
    </row>
    <row r="479" spans="1:9" s="74" customFormat="1" x14ac:dyDescent="0.25">
      <c r="A479" s="78">
        <v>18</v>
      </c>
      <c r="B479" s="82" t="s">
        <v>159</v>
      </c>
      <c r="C479" s="76" t="s">
        <v>10</v>
      </c>
      <c r="D479" s="108">
        <f>1.5*2+2*2.1*2+1.35*2+2.2*2+18*3.7+2.3*2</f>
        <v>89.7</v>
      </c>
      <c r="E479" s="30" t="s">
        <v>176</v>
      </c>
      <c r="F479" s="77" t="s">
        <v>160</v>
      </c>
      <c r="G479" s="78" t="s">
        <v>11</v>
      </c>
      <c r="H479" s="10"/>
      <c r="I479" s="79">
        <f>(D479/3)*1.1</f>
        <v>32.890000000000008</v>
      </c>
    </row>
    <row r="480" spans="1:9" s="74" customFormat="1" x14ac:dyDescent="0.25">
      <c r="A480" s="78">
        <v>19</v>
      </c>
      <c r="B480" s="81" t="s">
        <v>5</v>
      </c>
      <c r="C480" s="35" t="s">
        <v>10</v>
      </c>
      <c r="D480" s="108">
        <f>1.5*2+2*2.1+1.3+2.2*2+2.3*2</f>
        <v>17.5</v>
      </c>
      <c r="E480" s="42" t="s">
        <v>199</v>
      </c>
      <c r="F480" s="41" t="s">
        <v>43</v>
      </c>
      <c r="G480" s="34" t="s">
        <v>11</v>
      </c>
      <c r="H480" s="41" t="s">
        <v>61</v>
      </c>
      <c r="I480" s="79">
        <f>(D480*2*0.14*0.4)/10</f>
        <v>0.19600000000000001</v>
      </c>
    </row>
    <row r="481" spans="1:9" s="74" customFormat="1" x14ac:dyDescent="0.25">
      <c r="A481" s="78">
        <f t="shared" ref="A481:A483" si="26">A480+1</f>
        <v>20</v>
      </c>
      <c r="B481" s="81" t="s">
        <v>22</v>
      </c>
      <c r="C481" s="35" t="s">
        <v>10</v>
      </c>
      <c r="D481" s="108">
        <f t="shared" ref="D481:D483" si="27">1.5*2+2*2.1+1.3+2.2*2+2.3*2</f>
        <v>17.5</v>
      </c>
      <c r="E481" s="42" t="s">
        <v>177</v>
      </c>
      <c r="F481" s="41" t="s">
        <v>52</v>
      </c>
      <c r="G481" s="34" t="s">
        <v>11</v>
      </c>
      <c r="H481" s="41" t="s">
        <v>51</v>
      </c>
      <c r="I481" s="79">
        <f>(D481*0.48*2*0.4)/18</f>
        <v>0.37333333333333335</v>
      </c>
    </row>
    <row r="482" spans="1:9" s="74" customFormat="1" x14ac:dyDescent="0.25">
      <c r="A482" s="78">
        <f t="shared" si="26"/>
        <v>21</v>
      </c>
      <c r="B482" s="81" t="s">
        <v>65</v>
      </c>
      <c r="C482" s="35" t="s">
        <v>10</v>
      </c>
      <c r="D482" s="108">
        <f t="shared" si="27"/>
        <v>17.5</v>
      </c>
      <c r="E482" s="42"/>
      <c r="F482" s="41"/>
      <c r="G482" s="34"/>
      <c r="H482" s="41"/>
      <c r="I482" s="79"/>
    </row>
    <row r="483" spans="1:9" s="74" customFormat="1" x14ac:dyDescent="0.25">
      <c r="A483" s="78">
        <f t="shared" si="26"/>
        <v>22</v>
      </c>
      <c r="B483" s="81" t="s">
        <v>6</v>
      </c>
      <c r="C483" s="35" t="s">
        <v>10</v>
      </c>
      <c r="D483" s="108">
        <f t="shared" si="27"/>
        <v>17.5</v>
      </c>
      <c r="E483" s="42" t="s">
        <v>179</v>
      </c>
      <c r="F483" s="51" t="s">
        <v>49</v>
      </c>
      <c r="G483" s="44" t="s">
        <v>11</v>
      </c>
      <c r="H483" s="41" t="s">
        <v>50</v>
      </c>
      <c r="I483" s="79">
        <f>(D483*0.15*0.4*2)/14.5</f>
        <v>0.14482758620689656</v>
      </c>
    </row>
    <row r="484" spans="1:9" s="74" customFormat="1" ht="25.5" x14ac:dyDescent="0.25">
      <c r="A484" s="78">
        <v>23</v>
      </c>
      <c r="B484" s="81" t="s">
        <v>226</v>
      </c>
      <c r="C484" s="78" t="s">
        <v>4</v>
      </c>
      <c r="D484" s="108">
        <f>1.5*0.3</f>
        <v>0.44999999999999996</v>
      </c>
      <c r="E484" s="30"/>
      <c r="F484" s="5"/>
      <c r="G484" s="76"/>
      <c r="H484" s="20"/>
      <c r="I484" s="79"/>
    </row>
    <row r="485" spans="1:9" s="74" customFormat="1" x14ac:dyDescent="0.25">
      <c r="A485" s="172" t="s">
        <v>72</v>
      </c>
      <c r="B485" s="172"/>
      <c r="C485" s="172"/>
      <c r="D485" s="172"/>
      <c r="E485" s="172"/>
      <c r="F485" s="172"/>
      <c r="G485" s="172"/>
      <c r="H485" s="172"/>
      <c r="I485" s="172"/>
    </row>
    <row r="486" spans="1:9" s="74" customFormat="1" x14ac:dyDescent="0.25">
      <c r="A486" s="76">
        <v>1</v>
      </c>
      <c r="B486" s="81" t="s">
        <v>73</v>
      </c>
      <c r="C486" s="44" t="s">
        <v>4</v>
      </c>
      <c r="D486" s="138">
        <f>3*5*3+4.4*3*2</f>
        <v>71.400000000000006</v>
      </c>
      <c r="E486" s="52"/>
      <c r="F486" s="53"/>
      <c r="G486" s="53"/>
      <c r="H486" s="53"/>
      <c r="I486" s="144"/>
    </row>
    <row r="487" spans="1:9" s="74" customFormat="1" ht="76.5" x14ac:dyDescent="0.25">
      <c r="A487" s="76">
        <v>2</v>
      </c>
      <c r="B487" s="81" t="s">
        <v>79</v>
      </c>
      <c r="C487" s="44" t="s">
        <v>4</v>
      </c>
      <c r="D487" s="138">
        <f>3*5*3+4.4*3*2</f>
        <v>71.400000000000006</v>
      </c>
      <c r="E487" s="54" t="s">
        <v>53</v>
      </c>
      <c r="F487" s="51" t="s">
        <v>120</v>
      </c>
      <c r="G487" s="44" t="s">
        <v>4</v>
      </c>
      <c r="H487" s="53"/>
      <c r="I487" s="144">
        <f>D487</f>
        <v>71.400000000000006</v>
      </c>
    </row>
    <row r="488" spans="1:9" s="74" customFormat="1" ht="25.5" x14ac:dyDescent="0.25">
      <c r="A488" s="76">
        <v>3</v>
      </c>
      <c r="B488" s="55" t="s">
        <v>96</v>
      </c>
      <c r="C488" s="44" t="s">
        <v>4</v>
      </c>
      <c r="D488" s="138">
        <f>1.8*4.4*2+1.8*4.4*2+1.8*5*3</f>
        <v>58.680000000000007</v>
      </c>
      <c r="E488" s="54" t="s">
        <v>28</v>
      </c>
      <c r="F488" s="51" t="s">
        <v>97</v>
      </c>
      <c r="G488" s="44" t="s">
        <v>4</v>
      </c>
      <c r="H488" s="53"/>
      <c r="I488" s="144">
        <f>D488</f>
        <v>58.680000000000007</v>
      </c>
    </row>
    <row r="489" spans="1:9" s="74" customFormat="1" x14ac:dyDescent="0.25">
      <c r="A489" s="172" t="s">
        <v>17</v>
      </c>
      <c r="B489" s="172"/>
      <c r="C489" s="172"/>
      <c r="D489" s="172"/>
      <c r="E489" s="172"/>
      <c r="F489" s="172"/>
      <c r="G489" s="172"/>
      <c r="H489" s="172"/>
      <c r="I489" s="172"/>
    </row>
    <row r="490" spans="1:9" s="74" customFormat="1" x14ac:dyDescent="0.25">
      <c r="A490" s="121">
        <v>1</v>
      </c>
      <c r="B490" s="57" t="s">
        <v>12</v>
      </c>
      <c r="C490" s="58" t="s">
        <v>4</v>
      </c>
      <c r="D490" s="138">
        <f>6.2*(0.2+5.5+0.6+4.95+0.6*2+0.75+4.95+0.2+0.2+5.5+0.6+6.25)-(2.2*6.25)/2-8*0.6*0.6</f>
        <v>181.82499999999999</v>
      </c>
      <c r="E490" s="42"/>
      <c r="F490" s="34"/>
      <c r="G490" s="34"/>
      <c r="H490" s="34"/>
      <c r="I490" s="149"/>
    </row>
    <row r="491" spans="1:9" s="74" customFormat="1" x14ac:dyDescent="0.25">
      <c r="A491" s="121">
        <f t="shared" ref="A491:A496" si="28">A490+1</f>
        <v>2</v>
      </c>
      <c r="B491" s="57" t="s">
        <v>74</v>
      </c>
      <c r="C491" s="58" t="s">
        <v>4</v>
      </c>
      <c r="D491" s="113">
        <f>D490/2</f>
        <v>90.912499999999994</v>
      </c>
      <c r="E491" s="54"/>
      <c r="F491" s="34"/>
      <c r="G491" s="34"/>
      <c r="H491" s="34"/>
      <c r="I491" s="149"/>
    </row>
    <row r="492" spans="1:9" s="74" customFormat="1" x14ac:dyDescent="0.25">
      <c r="A492" s="121">
        <f t="shared" si="28"/>
        <v>3</v>
      </c>
      <c r="B492" s="57" t="s">
        <v>75</v>
      </c>
      <c r="C492" s="58" t="s">
        <v>4</v>
      </c>
      <c r="D492" s="113">
        <f>D490/2</f>
        <v>90.912499999999994</v>
      </c>
      <c r="E492" s="54" t="s">
        <v>28</v>
      </c>
      <c r="F492" s="37" t="s">
        <v>43</v>
      </c>
      <c r="G492" s="38" t="s">
        <v>11</v>
      </c>
      <c r="H492" s="37" t="s">
        <v>61</v>
      </c>
      <c r="I492" s="149">
        <f>(D492*1*0.14)/10</f>
        <v>1.272775</v>
      </c>
    </row>
    <row r="493" spans="1:9" s="74" customFormat="1" x14ac:dyDescent="0.25">
      <c r="A493" s="121">
        <f t="shared" si="28"/>
        <v>4</v>
      </c>
      <c r="B493" s="57" t="s">
        <v>78</v>
      </c>
      <c r="C493" s="58" t="s">
        <v>4</v>
      </c>
      <c r="D493" s="113">
        <f>D490/2</f>
        <v>90.912499999999994</v>
      </c>
      <c r="E493" s="54" t="s">
        <v>37</v>
      </c>
      <c r="F493" s="37" t="s">
        <v>52</v>
      </c>
      <c r="G493" s="38" t="s">
        <v>11</v>
      </c>
      <c r="H493" s="37" t="s">
        <v>51</v>
      </c>
      <c r="I493" s="149">
        <f>(D493*0.48*2)/18</f>
        <v>4.8486666666666665</v>
      </c>
    </row>
    <row r="494" spans="1:9" s="74" customFormat="1" x14ac:dyDescent="0.25">
      <c r="A494" s="121">
        <f t="shared" si="28"/>
        <v>5</v>
      </c>
      <c r="B494" s="57" t="s">
        <v>76</v>
      </c>
      <c r="C494" s="58" t="s">
        <v>4</v>
      </c>
      <c r="D494" s="113">
        <f>D490*1.5</f>
        <v>272.73749999999995</v>
      </c>
      <c r="E494" s="54" t="s">
        <v>29</v>
      </c>
      <c r="F494" s="37" t="s">
        <v>43</v>
      </c>
      <c r="G494" s="38" t="s">
        <v>11</v>
      </c>
      <c r="H494" s="37" t="s">
        <v>61</v>
      </c>
      <c r="I494" s="149">
        <f>(D494*1*0.14)/10</f>
        <v>3.8183249999999993</v>
      </c>
    </row>
    <row r="495" spans="1:9" s="74" customFormat="1" x14ac:dyDescent="0.25">
      <c r="A495" s="121">
        <f t="shared" si="28"/>
        <v>6</v>
      </c>
      <c r="B495" s="57" t="s">
        <v>77</v>
      </c>
      <c r="C495" s="58" t="s">
        <v>4</v>
      </c>
      <c r="D495" s="113">
        <f>D490*1.5</f>
        <v>272.73749999999995</v>
      </c>
      <c r="E495" s="54" t="s">
        <v>32</v>
      </c>
      <c r="F495" s="59" t="s">
        <v>49</v>
      </c>
      <c r="G495" s="60" t="s">
        <v>11</v>
      </c>
      <c r="H495" s="37" t="s">
        <v>50</v>
      </c>
      <c r="I495" s="149">
        <f>(D495*0.15)/14.5</f>
        <v>2.8214224137931025</v>
      </c>
    </row>
    <row r="496" spans="1:9" s="74" customFormat="1" ht="38.25" x14ac:dyDescent="0.25">
      <c r="A496" s="121">
        <f t="shared" si="28"/>
        <v>7</v>
      </c>
      <c r="B496" s="57" t="s">
        <v>9</v>
      </c>
      <c r="C496" s="58" t="s">
        <v>4</v>
      </c>
      <c r="D496" s="138">
        <f>6.2*(0.2+5.5+0.6+4.95+0.6*2+0.75+4.95+0.2+0.2+5.5+0.6+6.25)-(2.2*6.25)/2-8*0.6*0.6</f>
        <v>181.82499999999999</v>
      </c>
      <c r="E496" s="54" t="s">
        <v>46</v>
      </c>
      <c r="F496" s="61" t="s">
        <v>158</v>
      </c>
      <c r="G496" s="34" t="s">
        <v>4</v>
      </c>
      <c r="H496" s="34"/>
      <c r="I496" s="149">
        <f>D496</f>
        <v>181.82499999999999</v>
      </c>
    </row>
    <row r="497" spans="1:9" s="74" customFormat="1" x14ac:dyDescent="0.25">
      <c r="A497" s="60"/>
      <c r="B497" s="62"/>
      <c r="C497" s="63"/>
      <c r="D497" s="110"/>
      <c r="E497" s="54" t="s">
        <v>47</v>
      </c>
      <c r="F497" s="41" t="s">
        <v>71</v>
      </c>
      <c r="G497" s="34" t="s">
        <v>11</v>
      </c>
      <c r="H497" s="34"/>
      <c r="I497" s="149">
        <v>4</v>
      </c>
    </row>
    <row r="498" spans="1:9" s="74" customFormat="1" x14ac:dyDescent="0.25">
      <c r="A498" s="172" t="s">
        <v>18</v>
      </c>
      <c r="B498" s="172"/>
      <c r="C498" s="172"/>
      <c r="D498" s="172"/>
      <c r="E498" s="172"/>
      <c r="F498" s="172"/>
      <c r="G498" s="172"/>
      <c r="H498" s="172"/>
      <c r="I498" s="172"/>
    </row>
    <row r="499" spans="1:9" s="74" customFormat="1" x14ac:dyDescent="0.25">
      <c r="A499" s="44">
        <v>1</v>
      </c>
      <c r="B499" s="57" t="s">
        <v>19</v>
      </c>
      <c r="C499" s="44" t="s">
        <v>20</v>
      </c>
      <c r="D499" s="113">
        <v>2.2999999999999998</v>
      </c>
      <c r="E499" s="65"/>
      <c r="F499" s="64"/>
      <c r="G499" s="64"/>
      <c r="H499" s="64"/>
      <c r="I499" s="147"/>
    </row>
    <row r="500" spans="1:9" s="74" customFormat="1" x14ac:dyDescent="0.25">
      <c r="A500" s="44">
        <f>A499+1</f>
        <v>2</v>
      </c>
      <c r="B500" s="57" t="s">
        <v>85</v>
      </c>
      <c r="C500" s="44" t="s">
        <v>20</v>
      </c>
      <c r="D500" s="113">
        <v>0.2</v>
      </c>
      <c r="E500" s="65"/>
      <c r="F500" s="64"/>
      <c r="G500" s="64"/>
      <c r="H500" s="64"/>
      <c r="I500" s="147"/>
    </row>
    <row r="501" spans="1:9" s="74" customFormat="1" ht="25.5" x14ac:dyDescent="0.25">
      <c r="A501" s="44">
        <v>3</v>
      </c>
      <c r="B501" s="36" t="s">
        <v>81</v>
      </c>
      <c r="C501" s="44" t="s">
        <v>11</v>
      </c>
      <c r="D501" s="109">
        <v>1</v>
      </c>
      <c r="E501" s="66"/>
      <c r="F501" s="67"/>
      <c r="G501" s="67"/>
      <c r="H501" s="67"/>
      <c r="I501" s="151"/>
    </row>
    <row r="502" spans="1:9" s="74" customFormat="1" x14ac:dyDescent="0.25">
      <c r="A502" s="117"/>
      <c r="B502" s="104"/>
      <c r="C502" s="117"/>
      <c r="D502" s="142"/>
      <c r="E502" s="118"/>
      <c r="F502" s="104"/>
      <c r="G502" s="104"/>
      <c r="H502" s="104"/>
      <c r="I502" s="152"/>
    </row>
    <row r="503" spans="1:9" s="74" customFormat="1" x14ac:dyDescent="0.25">
      <c r="A503" s="117"/>
      <c r="B503" s="104"/>
      <c r="C503" s="117"/>
      <c r="D503" s="142"/>
      <c r="E503" s="118"/>
      <c r="F503" s="104"/>
      <c r="G503" s="104"/>
      <c r="H503" s="104"/>
      <c r="I503" s="152"/>
    </row>
    <row r="504" spans="1:9" s="74" customFormat="1" x14ac:dyDescent="0.25">
      <c r="A504" s="117"/>
      <c r="B504" s="104"/>
      <c r="C504" s="117"/>
      <c r="D504" s="142"/>
      <c r="E504" s="118"/>
      <c r="F504" s="104"/>
      <c r="G504" s="104"/>
      <c r="H504" s="104"/>
      <c r="I504" s="152"/>
    </row>
    <row r="505" spans="1:9" s="74" customFormat="1" x14ac:dyDescent="0.25">
      <c r="A505" s="117"/>
      <c r="B505" s="104"/>
      <c r="C505" s="117"/>
      <c r="D505" s="142"/>
      <c r="E505" s="118"/>
      <c r="F505" s="104"/>
      <c r="G505" s="104"/>
      <c r="H505" s="104"/>
      <c r="I505" s="152"/>
    </row>
    <row r="506" spans="1:9" s="74" customFormat="1" x14ac:dyDescent="0.25">
      <c r="A506" s="117"/>
      <c r="B506" s="104"/>
      <c r="C506" s="117"/>
      <c r="D506" s="142"/>
      <c r="E506" s="118"/>
      <c r="F506" s="104"/>
      <c r="G506" s="104"/>
      <c r="H506" s="104"/>
      <c r="I506" s="152"/>
    </row>
    <row r="507" spans="1:9" s="74" customFormat="1" x14ac:dyDescent="0.25">
      <c r="A507" s="117"/>
      <c r="B507" s="104"/>
      <c r="C507" s="117"/>
      <c r="D507" s="142"/>
      <c r="E507" s="118"/>
      <c r="F507" s="104"/>
      <c r="G507" s="104"/>
      <c r="H507" s="104"/>
      <c r="I507" s="152"/>
    </row>
    <row r="508" spans="1:9" s="74" customFormat="1" x14ac:dyDescent="0.25">
      <c r="A508" s="117"/>
      <c r="B508" s="104"/>
      <c r="C508" s="117"/>
      <c r="D508" s="142"/>
      <c r="E508" s="118"/>
      <c r="F508" s="104"/>
      <c r="G508" s="104"/>
      <c r="H508" s="104"/>
      <c r="I508" s="152"/>
    </row>
    <row r="509" spans="1:9" s="74" customFormat="1" x14ac:dyDescent="0.25">
      <c r="A509" s="117"/>
      <c r="B509" s="104"/>
      <c r="C509" s="117"/>
      <c r="D509" s="142"/>
      <c r="E509" s="118"/>
      <c r="F509" s="104"/>
      <c r="G509" s="104"/>
      <c r="H509" s="104"/>
      <c r="I509" s="152"/>
    </row>
    <row r="510" spans="1:9" s="74" customFormat="1" x14ac:dyDescent="0.25">
      <c r="A510" s="117"/>
      <c r="B510" s="104"/>
      <c r="C510" s="117"/>
      <c r="D510" s="142"/>
      <c r="E510" s="118"/>
      <c r="F510" s="104"/>
      <c r="G510" s="104"/>
      <c r="H510" s="104"/>
      <c r="I510" s="152"/>
    </row>
    <row r="511" spans="1:9" s="74" customFormat="1" x14ac:dyDescent="0.25">
      <c r="A511" s="117"/>
      <c r="B511" s="104"/>
      <c r="C511" s="117"/>
      <c r="D511" s="142"/>
      <c r="E511" s="118"/>
      <c r="F511" s="104"/>
      <c r="G511" s="104"/>
      <c r="H511" s="104"/>
      <c r="I511" s="152"/>
    </row>
  </sheetData>
  <mergeCells count="82">
    <mergeCell ref="B159:B162"/>
    <mergeCell ref="A354:I354"/>
    <mergeCell ref="H7:H8"/>
    <mergeCell ref="A6:I6"/>
    <mergeCell ref="A7:A8"/>
    <mergeCell ref="B7:B8"/>
    <mergeCell ref="I7:I8"/>
    <mergeCell ref="B152:B153"/>
    <mergeCell ref="B173:B176"/>
    <mergeCell ref="B166:B169"/>
    <mergeCell ref="A13:I13"/>
    <mergeCell ref="A31:I31"/>
    <mergeCell ref="A113:I113"/>
    <mergeCell ref="B66:B67"/>
    <mergeCell ref="E7:E8"/>
    <mergeCell ref="F7:F8"/>
    <mergeCell ref="G7:G8"/>
    <mergeCell ref="A40:I40"/>
    <mergeCell ref="A46:I46"/>
    <mergeCell ref="A58:I58"/>
    <mergeCell ref="A37:I37"/>
    <mergeCell ref="A100:I100"/>
    <mergeCell ref="A104:I104"/>
    <mergeCell ref="A485:I485"/>
    <mergeCell ref="A489:I489"/>
    <mergeCell ref="J7:J8"/>
    <mergeCell ref="A289:I289"/>
    <mergeCell ref="A45:I45"/>
    <mergeCell ref="A117:I117"/>
    <mergeCell ref="A9:I9"/>
    <mergeCell ref="A144:I144"/>
    <mergeCell ref="A196:I196"/>
    <mergeCell ref="A118:I118"/>
    <mergeCell ref="C7:C8"/>
    <mergeCell ref="D7:D8"/>
    <mergeCell ref="A10:I10"/>
    <mergeCell ref="A28:I28"/>
    <mergeCell ref="B468:B471"/>
    <mergeCell ref="B180:B183"/>
    <mergeCell ref="A426:I426"/>
    <mergeCell ref="A427:I427"/>
    <mergeCell ref="A285:I285"/>
    <mergeCell ref="A227:I227"/>
    <mergeCell ref="A201:I201"/>
    <mergeCell ref="A214:I214"/>
    <mergeCell ref="A223:I223"/>
    <mergeCell ref="A230:I230"/>
    <mergeCell ref="B238:B239"/>
    <mergeCell ref="B245:B248"/>
    <mergeCell ref="A355:I355"/>
    <mergeCell ref="A422:I422"/>
    <mergeCell ref="A406:I406"/>
    <mergeCell ref="A409:I409"/>
    <mergeCell ref="B387:B390"/>
    <mergeCell ref="A372:I372"/>
    <mergeCell ref="B326:B327"/>
    <mergeCell ref="B455:B458"/>
    <mergeCell ref="B462:B465"/>
    <mergeCell ref="A413:I413"/>
    <mergeCell ref="A440:I440"/>
    <mergeCell ref="B448:B449"/>
    <mergeCell ref="A338:I338"/>
    <mergeCell ref="A341:I341"/>
    <mergeCell ref="A350:I350"/>
    <mergeCell ref="B308:B311"/>
    <mergeCell ref="B380:B381"/>
    <mergeCell ref="A2:B2"/>
    <mergeCell ref="F1:I1"/>
    <mergeCell ref="A1:B1"/>
    <mergeCell ref="A498:I498"/>
    <mergeCell ref="F2:I2"/>
    <mergeCell ref="F3:I3"/>
    <mergeCell ref="F4:I4"/>
    <mergeCell ref="A140:I140"/>
    <mergeCell ref="A131:I131"/>
    <mergeCell ref="A200:I200"/>
    <mergeCell ref="B252:B255"/>
    <mergeCell ref="B258:B261"/>
    <mergeCell ref="B265:B268"/>
    <mergeCell ref="B73:B76"/>
    <mergeCell ref="A290:I290"/>
    <mergeCell ref="A307:I307"/>
  </mergeCells>
  <pageMargins left="0.70866141732283472" right="0.11811023622047245" top="0.35433070866141736" bottom="0.35433070866141736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произв. этаж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2024-12-09T10:09:13Z</dcterms:modified>
</cp:coreProperties>
</file>